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DA AGUAS DEL CHOCÓ\ESTADOS FINANCIEROS PDA\ESTADOS FINANCIEROS DE ENERO A JUNIO PUBLICADO EL 31 DE JULIO 2022\"/>
    </mc:Choice>
  </mc:AlternateContent>
  <xr:revisionPtr revIDLastSave="0" documentId="13_ncr:1_{9F09A340-D331-410B-AF32-680B47AC15CB}" xr6:coauthVersionLast="47" xr6:coauthVersionMax="47" xr10:uidLastSave="{00000000-0000-0000-0000-000000000000}"/>
  <bookViews>
    <workbookView xWindow="-120" yWindow="-120" windowWidth="20730" windowHeight="11160" tabRatio="871" xr2:uid="{00000000-000D-0000-FFFF-FFFF00000000}"/>
  </bookViews>
  <sheets>
    <sheet name="BALANCE GENERAL" sheetId="1" r:id="rId1"/>
    <sheet name="BALANCE COMPARATIVO" sheetId="17" r:id="rId2"/>
    <sheet name="MAYOR Y BALANCE" sheetId="16" r:id="rId3"/>
    <sheet name="ESTADO RESULTADO" sheetId="2" r:id="rId4"/>
    <sheet name="ESTADO DE RESULTADO COMPARATIVO" sheetId="18" r:id="rId5"/>
    <sheet name="CAMBIO PATRIMONIO" sheetId="9" r:id="rId6"/>
  </sheets>
  <externalReferences>
    <externalReference r:id="rId7"/>
  </externalReferences>
  <definedNames>
    <definedName name="_xlnm.Print_Area" localSheetId="0">'BALANCE GENERAL'!$B$1:$H$77</definedName>
    <definedName name="_xlnm.Print_Area" localSheetId="5">'CAMBIO PATRIMONIO'!$A$2:$D$37</definedName>
    <definedName name="_xlnm.Print_Area" localSheetId="3">'ESTADO RESULTADO'!$A$1:$E$116</definedName>
    <definedName name="_xlnm.Print_Area" localSheetId="2">'MAYOR Y BALANCE'!$A$1:$M$247</definedName>
    <definedName name="_xlnm.Print_Titles" localSheetId="0">'BALANCE GENERAL'!$1:$5</definedName>
    <definedName name="_xlnm.Print_Titles" localSheetId="3">'ESTADO RESULTADO'!$1:$4</definedName>
    <definedName name="_xlnm.Print_Titles" localSheetId="2">'MAYOR Y BALANCE'!$1:$7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6" l="1"/>
  <c r="D33" i="16"/>
  <c r="G29" i="16"/>
  <c r="D29" i="16"/>
  <c r="D43" i="18"/>
  <c r="E25" i="18" l="1"/>
  <c r="E145" i="16"/>
  <c r="J30" i="17"/>
  <c r="F29" i="16"/>
  <c r="G175" i="16"/>
  <c r="H175" i="16"/>
  <c r="I175" i="16"/>
  <c r="J175" i="16"/>
  <c r="K175" i="16"/>
  <c r="M175" i="16"/>
  <c r="F187" i="16"/>
  <c r="G95" i="16"/>
  <c r="F95" i="16"/>
  <c r="F79" i="16"/>
  <c r="G89" i="16"/>
  <c r="M226" i="16"/>
  <c r="K226" i="16"/>
  <c r="J226" i="16"/>
  <c r="I226" i="16"/>
  <c r="H226" i="16"/>
  <c r="G226" i="16"/>
  <c r="F226" i="16"/>
  <c r="E226" i="16"/>
  <c r="D226" i="16"/>
  <c r="C226" i="16"/>
  <c r="L227" i="16"/>
  <c r="D81" i="18" s="1"/>
  <c r="D99" i="2" l="1"/>
  <c r="D202" i="16"/>
  <c r="E91" i="16"/>
  <c r="D91" i="16"/>
  <c r="M89" i="16"/>
  <c r="M157" i="16"/>
  <c r="K157" i="16"/>
  <c r="J157" i="16"/>
  <c r="I157" i="16"/>
  <c r="H157" i="16"/>
  <c r="G157" i="16"/>
  <c r="F157" i="16"/>
  <c r="E157" i="16"/>
  <c r="D157" i="16"/>
  <c r="C157" i="16"/>
  <c r="L158" i="16"/>
  <c r="M111" i="16"/>
  <c r="D37" i="2" l="1"/>
  <c r="D26" i="18"/>
  <c r="F26" i="18" s="1"/>
  <c r="H29" i="1"/>
  <c r="K30" i="17"/>
  <c r="L30" i="17" s="1"/>
  <c r="E76" i="18"/>
  <c r="F76" i="18" s="1"/>
  <c r="E78" i="18"/>
  <c r="L225" i="16" l="1"/>
  <c r="L224" i="16" s="1"/>
  <c r="M224" i="16"/>
  <c r="K224" i="16"/>
  <c r="J224" i="16"/>
  <c r="I224" i="16"/>
  <c r="H224" i="16"/>
  <c r="G224" i="16"/>
  <c r="F224" i="16"/>
  <c r="E224" i="16"/>
  <c r="D224" i="16"/>
  <c r="C224" i="16"/>
  <c r="D97" i="2" l="1"/>
  <c r="D96" i="2" s="1"/>
  <c r="D79" i="18"/>
  <c r="F79" i="18" s="1"/>
  <c r="M135" i="16"/>
  <c r="M134" i="16" s="1"/>
  <c r="M133" i="16" s="1"/>
  <c r="L134" i="16"/>
  <c r="L133" i="16" s="1"/>
  <c r="K134" i="16"/>
  <c r="J134" i="16"/>
  <c r="J133" i="16" s="1"/>
  <c r="I134" i="16"/>
  <c r="I133" i="16" s="1"/>
  <c r="H134" i="16"/>
  <c r="H133" i="16" s="1"/>
  <c r="G134" i="16"/>
  <c r="G133" i="16" s="1"/>
  <c r="F134" i="16"/>
  <c r="F133" i="16" s="1"/>
  <c r="E134" i="16"/>
  <c r="E133" i="16" s="1"/>
  <c r="D134" i="16"/>
  <c r="D133" i="16" s="1"/>
  <c r="K133" i="16"/>
  <c r="C134" i="16"/>
  <c r="C133" i="16" s="1"/>
  <c r="D11" i="18"/>
  <c r="D10" i="18" s="1"/>
  <c r="D67" i="18"/>
  <c r="D69" i="18"/>
  <c r="D75" i="18"/>
  <c r="D74" i="18" s="1"/>
  <c r="E81" i="18"/>
  <c r="F73" i="18"/>
  <c r="F72" i="18"/>
  <c r="F71" i="18"/>
  <c r="F70" i="18"/>
  <c r="F68" i="18"/>
  <c r="F65" i="18"/>
  <c r="L60" i="17"/>
  <c r="M129" i="16"/>
  <c r="K62" i="17"/>
  <c r="J62" i="17"/>
  <c r="J61" i="17" s="1"/>
  <c r="J59" i="17"/>
  <c r="J55" i="17"/>
  <c r="J56" i="17"/>
  <c r="J54" i="17"/>
  <c r="J49" i="17"/>
  <c r="J46" i="17"/>
  <c r="J45" i="17"/>
  <c r="J44" i="17"/>
  <c r="J41" i="17"/>
  <c r="J42" i="17"/>
  <c r="J43" i="17"/>
  <c r="J40" i="17"/>
  <c r="J33" i="17"/>
  <c r="J34" i="17"/>
  <c r="J35" i="17"/>
  <c r="J36" i="17"/>
  <c r="J37" i="17"/>
  <c r="J32" i="17"/>
  <c r="J26" i="17"/>
  <c r="J27" i="17"/>
  <c r="J28" i="17"/>
  <c r="J29" i="17"/>
  <c r="J25" i="17"/>
  <c r="J24" i="17" s="1"/>
  <c r="J17" i="17"/>
  <c r="J18" i="17"/>
  <c r="J19" i="17"/>
  <c r="J20" i="17"/>
  <c r="J21" i="17"/>
  <c r="J22" i="17"/>
  <c r="J23" i="17"/>
  <c r="J16" i="17"/>
  <c r="J14" i="17"/>
  <c r="J13" i="17" s="1"/>
  <c r="J12" i="17"/>
  <c r="D41" i="17"/>
  <c r="D57" i="17"/>
  <c r="D58" i="17"/>
  <c r="D56" i="17"/>
  <c r="D55" i="17"/>
  <c r="D53" i="17"/>
  <c r="D52" i="17"/>
  <c r="D47" i="17"/>
  <c r="D48" i="17"/>
  <c r="D49" i="17"/>
  <c r="D46" i="17"/>
  <c r="D44" i="17"/>
  <c r="D39" i="17"/>
  <c r="D38" i="17"/>
  <c r="D34" i="17"/>
  <c r="D33" i="17" s="1"/>
  <c r="D32" i="17" s="1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14" i="17"/>
  <c r="M53" i="17"/>
  <c r="F12" i="17"/>
  <c r="E80" i="18" l="1"/>
  <c r="E77" i="18" s="1"/>
  <c r="D78" i="18"/>
  <c r="D51" i="17"/>
  <c r="J53" i="17"/>
  <c r="E32" i="18"/>
  <c r="E42" i="18"/>
  <c r="E48" i="18"/>
  <c r="E45" i="18" s="1"/>
  <c r="E28" i="18"/>
  <c r="F12" i="18"/>
  <c r="F11" i="18" s="1"/>
  <c r="F10" i="18" s="1"/>
  <c r="E35" i="18"/>
  <c r="E61" i="18"/>
  <c r="F78" i="18"/>
  <c r="G79" i="18" s="1"/>
  <c r="E16" i="18"/>
  <c r="F17" i="18"/>
  <c r="F43" i="18"/>
  <c r="D11" i="2"/>
  <c r="D10" i="2" s="1"/>
  <c r="D9" i="2" s="1"/>
  <c r="J31" i="17"/>
  <c r="D37" i="17"/>
  <c r="J15" i="17"/>
  <c r="E11" i="18"/>
  <c r="E10" i="18" s="1"/>
  <c r="D66" i="18"/>
  <c r="E14" i="18"/>
  <c r="E21" i="18"/>
  <c r="E69" i="18"/>
  <c r="E67" i="18"/>
  <c r="F69" i="18"/>
  <c r="E75" i="18"/>
  <c r="E74" i="18" s="1"/>
  <c r="J48" i="17"/>
  <c r="J47" i="17" s="1"/>
  <c r="D13" i="17"/>
  <c r="D10" i="17" s="1"/>
  <c r="J39" i="17"/>
  <c r="J38" i="17" s="1"/>
  <c r="J11" i="17"/>
  <c r="D43" i="17"/>
  <c r="D45" i="17"/>
  <c r="D54" i="17"/>
  <c r="L62" i="17"/>
  <c r="K61" i="17"/>
  <c r="D50" i="17" l="1"/>
  <c r="E13" i="18"/>
  <c r="E9" i="18" s="1"/>
  <c r="E66" i="18"/>
  <c r="J10" i="17"/>
  <c r="J8" i="17" s="1"/>
  <c r="J7" i="17" s="1"/>
  <c r="J50" i="17" s="1"/>
  <c r="E20" i="18"/>
  <c r="F67" i="18"/>
  <c r="F66" i="18" s="1"/>
  <c r="F75" i="18"/>
  <c r="F74" i="18" s="1"/>
  <c r="L61" i="17"/>
  <c r="E19" i="18" l="1"/>
  <c r="E83" i="18" s="1"/>
  <c r="E85" i="18" s="1"/>
  <c r="E87" i="18" s="1"/>
  <c r="E8" i="18"/>
  <c r="L177" i="16" l="1"/>
  <c r="L175" i="16" s="1"/>
  <c r="L196" i="16"/>
  <c r="D59" i="18" s="1"/>
  <c r="F59" i="18" s="1"/>
  <c r="N196" i="16"/>
  <c r="H167" i="16"/>
  <c r="H164" i="16"/>
  <c r="H160" i="16"/>
  <c r="I148" i="16"/>
  <c r="H148" i="16"/>
  <c r="I141" i="16"/>
  <c r="H141" i="16"/>
  <c r="I137" i="16"/>
  <c r="I136" i="16" s="1"/>
  <c r="H137" i="16"/>
  <c r="H136" i="16" s="1"/>
  <c r="I127" i="16"/>
  <c r="H127" i="16"/>
  <c r="I123" i="16"/>
  <c r="H123" i="16"/>
  <c r="I103" i="16"/>
  <c r="I102" i="16" s="1"/>
  <c r="H103" i="16"/>
  <c r="H102" i="16" s="1"/>
  <c r="I94" i="16"/>
  <c r="H94" i="16"/>
  <c r="I83" i="16"/>
  <c r="H83" i="16"/>
  <c r="H74" i="16"/>
  <c r="H37" i="16"/>
  <c r="H31" i="16"/>
  <c r="D44" i="18" l="1"/>
  <c r="F44" i="18" s="1"/>
  <c r="F42" i="18" s="1"/>
  <c r="N129" i="16"/>
  <c r="L41" i="16"/>
  <c r="K40" i="16"/>
  <c r="J40" i="16"/>
  <c r="I40" i="16"/>
  <c r="H40" i="16"/>
  <c r="G40" i="16"/>
  <c r="F40" i="16"/>
  <c r="E40" i="16"/>
  <c r="D40" i="16"/>
  <c r="D42" i="18" l="1"/>
  <c r="G44" i="18"/>
  <c r="E41" i="17"/>
  <c r="D40" i="1"/>
  <c r="M131" i="16"/>
  <c r="M126" i="16"/>
  <c r="K56" i="17" s="1"/>
  <c r="L56" i="17" s="1"/>
  <c r="M125" i="16"/>
  <c r="K55" i="17" s="1"/>
  <c r="L55" i="17" s="1"/>
  <c r="M124" i="16"/>
  <c r="K54" i="17" s="1"/>
  <c r="F41" i="17" l="1"/>
  <c r="K53" i="17"/>
  <c r="L54" i="17"/>
  <c r="L53" i="17" s="1"/>
  <c r="G43" i="18"/>
  <c r="M178" i="16" l="1"/>
  <c r="K178" i="16"/>
  <c r="I178" i="16"/>
  <c r="G178" i="16"/>
  <c r="E178" i="16"/>
  <c r="C178" i="16"/>
  <c r="L193" i="16"/>
  <c r="M167" i="16"/>
  <c r="K167" i="16"/>
  <c r="J167" i="16"/>
  <c r="I167" i="16"/>
  <c r="G167" i="16"/>
  <c r="F167" i="16"/>
  <c r="E167" i="16"/>
  <c r="D167" i="16"/>
  <c r="C167" i="16"/>
  <c r="L174" i="16"/>
  <c r="L173" i="16"/>
  <c r="J58" i="17" l="1"/>
  <c r="J57" i="17" s="1"/>
  <c r="J52" i="17" s="1"/>
  <c r="J51" i="17" s="1"/>
  <c r="J63" i="17" s="1"/>
  <c r="M128" i="16"/>
  <c r="K58" i="17" s="1"/>
  <c r="D68" i="2"/>
  <c r="D57" i="18"/>
  <c r="F57" i="18" s="1"/>
  <c r="D52" i="2"/>
  <c r="D41" i="18"/>
  <c r="F41" i="18" s="1"/>
  <c r="L94" i="16"/>
  <c r="K94" i="16"/>
  <c r="J94" i="16"/>
  <c r="G94" i="16"/>
  <c r="F94" i="16"/>
  <c r="E94" i="16"/>
  <c r="D94" i="16"/>
  <c r="L83" i="16"/>
  <c r="K83" i="16"/>
  <c r="J83" i="16"/>
  <c r="G83" i="16"/>
  <c r="F83" i="16"/>
  <c r="E83" i="16"/>
  <c r="D83" i="16"/>
  <c r="L63" i="16"/>
  <c r="K63" i="16"/>
  <c r="J63" i="16"/>
  <c r="I63" i="16"/>
  <c r="G63" i="16"/>
  <c r="F63" i="16"/>
  <c r="E63" i="16"/>
  <c r="D63" i="16"/>
  <c r="K31" i="16"/>
  <c r="J31" i="16"/>
  <c r="I31" i="16"/>
  <c r="G31" i="16"/>
  <c r="F31" i="16"/>
  <c r="E31" i="16"/>
  <c r="D31" i="16"/>
  <c r="M119" i="16" l="1"/>
  <c r="K49" i="17" s="1"/>
  <c r="M116" i="16"/>
  <c r="M115" i="16"/>
  <c r="M114" i="16"/>
  <c r="M113" i="16"/>
  <c r="M112" i="16"/>
  <c r="M110" i="16"/>
  <c r="K45" i="17" s="1"/>
  <c r="L45" i="17" s="1"/>
  <c r="M109" i="16"/>
  <c r="K44" i="17" s="1"/>
  <c r="L44" i="17" s="1"/>
  <c r="M108" i="16"/>
  <c r="M107" i="16"/>
  <c r="M106" i="16"/>
  <c r="M105" i="16"/>
  <c r="M104" i="16"/>
  <c r="M101" i="16"/>
  <c r="K37" i="17" s="1"/>
  <c r="L37" i="17" s="1"/>
  <c r="M100" i="16"/>
  <c r="M99" i="16"/>
  <c r="K36" i="17" s="1"/>
  <c r="L36" i="17" s="1"/>
  <c r="M98" i="16"/>
  <c r="K35" i="17" s="1"/>
  <c r="L35" i="17" s="1"/>
  <c r="M97" i="16"/>
  <c r="M96" i="16"/>
  <c r="K33" i="17" s="1"/>
  <c r="L33" i="17" s="1"/>
  <c r="M95" i="16"/>
  <c r="K32" i="17" s="1"/>
  <c r="M93" i="16"/>
  <c r="M91" i="16"/>
  <c r="M90" i="16"/>
  <c r="M88" i="16"/>
  <c r="M87" i="16"/>
  <c r="M86" i="16"/>
  <c r="M85" i="16"/>
  <c r="M84" i="16"/>
  <c r="M81" i="16"/>
  <c r="M80" i="16"/>
  <c r="M79" i="16"/>
  <c r="M78" i="16"/>
  <c r="M77" i="16"/>
  <c r="M76" i="16"/>
  <c r="M75" i="16"/>
  <c r="M69" i="16"/>
  <c r="K14" i="17" s="1"/>
  <c r="M65" i="16"/>
  <c r="C31" i="16"/>
  <c r="L32" i="16"/>
  <c r="L58" i="17" l="1"/>
  <c r="K16" i="17"/>
  <c r="H15" i="1"/>
  <c r="H19" i="1"/>
  <c r="K20" i="17"/>
  <c r="L20" i="17" s="1"/>
  <c r="H25" i="1"/>
  <c r="K26" i="17"/>
  <c r="L26" i="17" s="1"/>
  <c r="K41" i="17"/>
  <c r="L41" i="17" s="1"/>
  <c r="H39" i="1"/>
  <c r="H20" i="1"/>
  <c r="K21" i="17"/>
  <c r="L21" i="17" s="1"/>
  <c r="H33" i="1"/>
  <c r="K34" i="17"/>
  <c r="L34" i="17" s="1"/>
  <c r="K42" i="17"/>
  <c r="L42" i="17" s="1"/>
  <c r="H40" i="1"/>
  <c r="K46" i="17"/>
  <c r="L46" i="17" s="1"/>
  <c r="H42" i="1"/>
  <c r="H16" i="1"/>
  <c r="K17" i="17"/>
  <c r="L17" i="17" s="1"/>
  <c r="H26" i="1"/>
  <c r="K27" i="17"/>
  <c r="L27" i="17" s="1"/>
  <c r="H17" i="1"/>
  <c r="K18" i="17"/>
  <c r="L18" i="17" s="1"/>
  <c r="K22" i="17"/>
  <c r="L22" i="17" s="1"/>
  <c r="H21" i="1"/>
  <c r="H27" i="1"/>
  <c r="K28" i="17"/>
  <c r="L28" i="17" s="1"/>
  <c r="K43" i="17"/>
  <c r="L43" i="17" s="1"/>
  <c r="H41" i="1"/>
  <c r="L49" i="17"/>
  <c r="K48" i="17"/>
  <c r="K47" i="17" s="1"/>
  <c r="K13" i="17"/>
  <c r="L14" i="17"/>
  <c r="H18" i="1"/>
  <c r="K19" i="17"/>
  <c r="L19" i="17" s="1"/>
  <c r="H24" i="1"/>
  <c r="H23" i="1" s="1"/>
  <c r="K25" i="17"/>
  <c r="K29" i="17"/>
  <c r="L29" i="17" s="1"/>
  <c r="H28" i="1"/>
  <c r="L32" i="17"/>
  <c r="K40" i="17"/>
  <c r="H38" i="1"/>
  <c r="M94" i="16"/>
  <c r="M83" i="16"/>
  <c r="N83" i="16" s="1"/>
  <c r="L66" i="16"/>
  <c r="J66" i="16"/>
  <c r="H66" i="16"/>
  <c r="G66" i="16"/>
  <c r="F66" i="16"/>
  <c r="E66" i="16"/>
  <c r="D66" i="16"/>
  <c r="L228" i="16"/>
  <c r="M223" i="16"/>
  <c r="K223" i="16"/>
  <c r="J223" i="16"/>
  <c r="I223" i="16"/>
  <c r="H223" i="16"/>
  <c r="G223" i="16"/>
  <c r="F223" i="16"/>
  <c r="E223" i="16"/>
  <c r="D223" i="16"/>
  <c r="C223" i="16"/>
  <c r="L171" i="16"/>
  <c r="L169" i="16"/>
  <c r="L168" i="16"/>
  <c r="D36" i="18" s="1"/>
  <c r="F36" i="18" s="1"/>
  <c r="M145" i="16"/>
  <c r="D26" i="2" s="1"/>
  <c r="D25" i="2" s="1"/>
  <c r="L143" i="16"/>
  <c r="K143" i="16"/>
  <c r="J143" i="16"/>
  <c r="I143" i="16"/>
  <c r="I140" i="16" s="1"/>
  <c r="I132" i="16" s="1"/>
  <c r="H143" i="16"/>
  <c r="H140" i="16" s="1"/>
  <c r="H132" i="16" s="1"/>
  <c r="G143" i="16"/>
  <c r="F143" i="16"/>
  <c r="E143" i="16"/>
  <c r="D143" i="16"/>
  <c r="C143" i="16"/>
  <c r="D103" i="16"/>
  <c r="D102" i="16" s="1"/>
  <c r="L226" i="16" l="1"/>
  <c r="D82" i="18"/>
  <c r="K24" i="17"/>
  <c r="K31" i="17"/>
  <c r="L48" i="17"/>
  <c r="L47" i="17" s="1"/>
  <c r="L31" i="17"/>
  <c r="L25" i="17"/>
  <c r="L24" i="17" s="1"/>
  <c r="L13" i="17"/>
  <c r="D48" i="2"/>
  <c r="D37" i="18"/>
  <c r="F37" i="18" s="1"/>
  <c r="F81" i="18"/>
  <c r="D50" i="2"/>
  <c r="D39" i="18"/>
  <c r="F39" i="18" s="1"/>
  <c r="D18" i="18"/>
  <c r="K39" i="17"/>
  <c r="K38" i="17" s="1"/>
  <c r="L39" i="17"/>
  <c r="L38" i="17" s="1"/>
  <c r="L16" i="17"/>
  <c r="L223" i="16"/>
  <c r="D47" i="2"/>
  <c r="F82" i="18" l="1"/>
  <c r="F80" i="18" s="1"/>
  <c r="D80" i="18"/>
  <c r="D77" i="18" s="1"/>
  <c r="D16" i="18"/>
  <c r="F18" i="18"/>
  <c r="B15" i="9"/>
  <c r="L230" i="16"/>
  <c r="L229" i="16" s="1"/>
  <c r="G81" i="18" l="1"/>
  <c r="G82" i="18"/>
  <c r="F77" i="18"/>
  <c r="F16" i="18"/>
  <c r="G80" i="18" l="1"/>
  <c r="H44" i="1"/>
  <c r="L68" i="16"/>
  <c r="K68" i="16"/>
  <c r="J68" i="16"/>
  <c r="I68" i="16"/>
  <c r="H68" i="16"/>
  <c r="G68" i="16"/>
  <c r="F68" i="16"/>
  <c r="D68" i="16"/>
  <c r="C68" i="16"/>
  <c r="M68" i="16" l="1"/>
  <c r="E68" i="16"/>
  <c r="D55" i="2"/>
  <c r="D54" i="2"/>
  <c r="H12" i="1" l="1"/>
  <c r="D53" i="2"/>
  <c r="H43" i="1" l="1"/>
  <c r="F175" i="16" l="1"/>
  <c r="E175" i="16"/>
  <c r="D175" i="16"/>
  <c r="C175" i="16"/>
  <c r="L103" i="16" l="1"/>
  <c r="L102" i="16" s="1"/>
  <c r="K103" i="16"/>
  <c r="K102" i="16" s="1"/>
  <c r="J103" i="16"/>
  <c r="J102" i="16" s="1"/>
  <c r="E103" i="16"/>
  <c r="E102" i="16" s="1"/>
  <c r="C103" i="16"/>
  <c r="C94" i="16"/>
  <c r="C83" i="16"/>
  <c r="N84" i="16" s="1"/>
  <c r="N85" i="16" l="1"/>
  <c r="N87" i="16" s="1"/>
  <c r="P83" i="16"/>
  <c r="H181" i="16"/>
  <c r="H178" i="16" s="1"/>
  <c r="F205" i="16" l="1"/>
  <c r="F210" i="16" l="1"/>
  <c r="L210" i="16" s="1"/>
  <c r="F204" i="16" l="1"/>
  <c r="D70" i="2" l="1"/>
  <c r="H34" i="1" l="1"/>
  <c r="G103" i="16"/>
  <c r="G102" i="16" s="1"/>
  <c r="L187" i="16"/>
  <c r="D54" i="18" s="1"/>
  <c r="F54" i="18" s="1"/>
  <c r="F103" i="16" l="1"/>
  <c r="F102" i="16" s="1"/>
  <c r="L47" i="16" l="1"/>
  <c r="E47" i="17" s="1"/>
  <c r="F47" i="17" s="1"/>
  <c r="L48" i="16"/>
  <c r="E48" i="17" s="1"/>
  <c r="F48" i="17" s="1"/>
  <c r="L49" i="16"/>
  <c r="E49" i="17" s="1"/>
  <c r="F49" i="17" s="1"/>
  <c r="L46" i="16"/>
  <c r="E46" i="17" s="1"/>
  <c r="E45" i="17" l="1"/>
  <c r="F46" i="17"/>
  <c r="E45" i="16"/>
  <c r="F45" i="17" l="1"/>
  <c r="L55" i="16"/>
  <c r="E55" i="17" s="1"/>
  <c r="E12" i="16"/>
  <c r="F55" i="17" l="1"/>
  <c r="L33" i="16"/>
  <c r="L31" i="16" l="1"/>
  <c r="E34" i="17"/>
  <c r="D74" i="16"/>
  <c r="D148" i="16"/>
  <c r="D181" i="16"/>
  <c r="D178" i="16" s="1"/>
  <c r="F34" i="17" l="1"/>
  <c r="E33" i="17"/>
  <c r="E32" i="17" s="1"/>
  <c r="B14" i="9"/>
  <c r="L200" i="16"/>
  <c r="D62" i="18" s="1"/>
  <c r="F62" i="18" s="1"/>
  <c r="L13" i="16"/>
  <c r="E14" i="17" s="1"/>
  <c r="F14" i="17" s="1"/>
  <c r="F33" i="17" l="1"/>
  <c r="F32" i="17" s="1"/>
  <c r="L155" i="16"/>
  <c r="G45" i="16" l="1"/>
  <c r="G54" i="16"/>
  <c r="F54" i="16"/>
  <c r="H54" i="16"/>
  <c r="I54" i="16"/>
  <c r="L58" i="16"/>
  <c r="L57" i="16"/>
  <c r="L56" i="16"/>
  <c r="E56" i="17" s="1"/>
  <c r="D55" i="1"/>
  <c r="M54" i="16"/>
  <c r="K54" i="16"/>
  <c r="J54" i="16"/>
  <c r="E54" i="16"/>
  <c r="D54" i="16"/>
  <c r="C54" i="16"/>
  <c r="F56" i="17" l="1"/>
  <c r="D54" i="1"/>
  <c r="E57" i="17"/>
  <c r="F57" i="17" s="1"/>
  <c r="C40" i="16"/>
  <c r="D42" i="17"/>
  <c r="D40" i="17" s="1"/>
  <c r="D36" i="17" s="1"/>
  <c r="D8" i="17" s="1"/>
  <c r="D7" i="17" s="1"/>
  <c r="D63" i="17" s="1"/>
  <c r="D57" i="1"/>
  <c r="E58" i="17"/>
  <c r="F58" i="17" s="1"/>
  <c r="L54" i="16"/>
  <c r="D56" i="1"/>
  <c r="E54" i="17" l="1"/>
  <c r="D53" i="1"/>
  <c r="F54" i="17"/>
  <c r="L29" i="16"/>
  <c r="E30" i="17" s="1"/>
  <c r="F30" i="17" s="1"/>
  <c r="H31" i="1" l="1"/>
  <c r="L20" i="16" l="1"/>
  <c r="E21" i="17" s="1"/>
  <c r="F21" i="17" s="1"/>
  <c r="J74" i="16"/>
  <c r="L154" i="16"/>
  <c r="L208" i="16" l="1"/>
  <c r="L199" i="16"/>
  <c r="L150" i="16"/>
  <c r="D23" i="18" s="1"/>
  <c r="F23" i="18" s="1"/>
  <c r="L151" i="16"/>
  <c r="D24" i="18" s="1"/>
  <c r="F24" i="18" s="1"/>
  <c r="G26" i="18" s="1"/>
  <c r="L152" i="16"/>
  <c r="L153" i="16"/>
  <c r="L156" i="16"/>
  <c r="M12" i="16"/>
  <c r="L53" i="16"/>
  <c r="E53" i="17" s="1"/>
  <c r="F53" i="17" s="1"/>
  <c r="F181" i="16"/>
  <c r="F178" i="16" s="1"/>
  <c r="L203" i="16"/>
  <c r="M127" i="16"/>
  <c r="F148" i="16" l="1"/>
  <c r="D12" i="16"/>
  <c r="C45" i="16" l="1"/>
  <c r="C92" i="16" l="1"/>
  <c r="C74" i="16"/>
  <c r="L194" i="16" l="1"/>
  <c r="D69" i="2" l="1"/>
  <c r="D58" i="18"/>
  <c r="F58" i="18" s="1"/>
  <c r="M138" i="16"/>
  <c r="D14" i="2" s="1"/>
  <c r="M139" i="16"/>
  <c r="D21" i="2" s="1"/>
  <c r="M142" i="16"/>
  <c r="K45" i="16"/>
  <c r="K12" i="16"/>
  <c r="D15" i="18" l="1"/>
  <c r="F15" i="18" s="1"/>
  <c r="D24" i="2"/>
  <c r="D23" i="2" s="1"/>
  <c r="D22" i="2" s="1"/>
  <c r="D13" i="2"/>
  <c r="D12" i="2" s="1"/>
  <c r="M137" i="16"/>
  <c r="M136" i="16" s="1"/>
  <c r="D14" i="18" l="1"/>
  <c r="D13" i="18" s="1"/>
  <c r="D9" i="18" s="1"/>
  <c r="D8" i="18" s="1"/>
  <c r="D7" i="2"/>
  <c r="D6" i="2" s="1"/>
  <c r="F14" i="18"/>
  <c r="F13" i="18" s="1"/>
  <c r="I12" i="16"/>
  <c r="F9" i="18" l="1"/>
  <c r="G18" i="18" s="1"/>
  <c r="I45" i="16"/>
  <c r="I36" i="16" s="1"/>
  <c r="L186" i="16"/>
  <c r="D53" i="18" s="1"/>
  <c r="F53" i="18" s="1"/>
  <c r="L184" i="16"/>
  <c r="D51" i="18" s="1"/>
  <c r="F51" i="18" s="1"/>
  <c r="L183" i="16"/>
  <c r="D50" i="18" s="1"/>
  <c r="F50" i="18" s="1"/>
  <c r="L185" i="16"/>
  <c r="D52" i="18" s="1"/>
  <c r="F52" i="18" s="1"/>
  <c r="H12" i="16"/>
  <c r="F8" i="18" l="1"/>
  <c r="G17" i="18" s="1"/>
  <c r="G16" i="18" s="1"/>
  <c r="L23" i="16"/>
  <c r="E24" i="17" s="1"/>
  <c r="F24" i="17" s="1"/>
  <c r="L24" i="16"/>
  <c r="E25" i="17" s="1"/>
  <c r="F25" i="17" s="1"/>
  <c r="L25" i="16"/>
  <c r="E26" i="17" s="1"/>
  <c r="F26" i="17" s="1"/>
  <c r="L21" i="16"/>
  <c r="E22" i="17" s="1"/>
  <c r="F22" i="17" s="1"/>
  <c r="L22" i="16"/>
  <c r="E23" i="17" s="1"/>
  <c r="F23" i="17" s="1"/>
  <c r="L17" i="16"/>
  <c r="E18" i="17" s="1"/>
  <c r="F18" i="17" s="1"/>
  <c r="L19" i="16"/>
  <c r="E20" i="17" s="1"/>
  <c r="F20" i="17" s="1"/>
  <c r="L16" i="16"/>
  <c r="E17" i="17" s="1"/>
  <c r="F17" i="17" s="1"/>
  <c r="L14" i="16"/>
  <c r="E15" i="17" s="1"/>
  <c r="F15" i="17" s="1"/>
  <c r="L15" i="16"/>
  <c r="E16" i="17" s="1"/>
  <c r="G15" i="18" l="1"/>
  <c r="G14" i="18" s="1"/>
  <c r="G13" i="18" s="1"/>
  <c r="G12" i="18"/>
  <c r="G11" i="18" s="1"/>
  <c r="G10" i="18" s="1"/>
  <c r="F16" i="17"/>
  <c r="G74" i="16"/>
  <c r="F74" i="16"/>
  <c r="G9" i="18" l="1"/>
  <c r="G8" i="18" s="1"/>
  <c r="L18" i="16"/>
  <c r="E19" i="17" s="1"/>
  <c r="G12" i="16"/>
  <c r="F19" i="17" l="1"/>
  <c r="F12" i="16"/>
  <c r="D73" i="2" l="1"/>
  <c r="D34" i="16"/>
  <c r="D30" i="16" s="1"/>
  <c r="E74" i="16"/>
  <c r="E118" i="16"/>
  <c r="E117" i="16" s="1"/>
  <c r="D218" i="16"/>
  <c r="C12" i="16" l="1"/>
  <c r="N13" i="16" s="1"/>
  <c r="L197" i="16"/>
  <c r="D60" i="18" s="1"/>
  <c r="F60" i="18" s="1"/>
  <c r="L219" i="16" l="1"/>
  <c r="J218" i="16"/>
  <c r="L163" i="16"/>
  <c r="D31" i="18" s="1"/>
  <c r="F31" i="18" s="1"/>
  <c r="L162" i="16"/>
  <c r="D30" i="18" s="1"/>
  <c r="F30" i="18" s="1"/>
  <c r="L161" i="16"/>
  <c r="D29" i="18" s="1"/>
  <c r="F29" i="18" s="1"/>
  <c r="L159" i="16"/>
  <c r="L220" i="16"/>
  <c r="F218" i="16"/>
  <c r="D27" i="18" l="1"/>
  <c r="L157" i="16"/>
  <c r="F28" i="18"/>
  <c r="D28" i="18"/>
  <c r="L160" i="16"/>
  <c r="F27" i="18" l="1"/>
  <c r="F25" i="18" s="1"/>
  <c r="D25" i="18"/>
  <c r="G27" i="18"/>
  <c r="G25" i="18" s="1"/>
  <c r="D33" i="1"/>
  <c r="D32" i="1" s="1"/>
  <c r="D31" i="1" s="1"/>
  <c r="D29" i="1"/>
  <c r="D15" i="1"/>
  <c r="D95" i="2"/>
  <c r="D94" i="2" s="1"/>
  <c r="D76" i="2"/>
  <c r="D71" i="2"/>
  <c r="D65" i="2"/>
  <c r="D63" i="2"/>
  <c r="D42" i="2"/>
  <c r="D41" i="2"/>
  <c r="D40" i="2"/>
  <c r="D38" i="2"/>
  <c r="D36" i="2" s="1"/>
  <c r="G29" i="18" l="1"/>
  <c r="G30" i="18"/>
  <c r="G31" i="18"/>
  <c r="D39" i="2"/>
  <c r="L221" i="16"/>
  <c r="L222" i="16"/>
  <c r="L207" i="16"/>
  <c r="D88" i="2" s="1"/>
  <c r="D89" i="2"/>
  <c r="L209" i="16"/>
  <c r="D90" i="2" s="1"/>
  <c r="L211" i="16"/>
  <c r="D85" i="2" s="1"/>
  <c r="D84" i="2" s="1"/>
  <c r="L206" i="16"/>
  <c r="L202" i="16"/>
  <c r="D64" i="18" s="1"/>
  <c r="F64" i="18" s="1"/>
  <c r="D98" i="2"/>
  <c r="L192" i="16"/>
  <c r="D64" i="2"/>
  <c r="D61" i="2"/>
  <c r="D62" i="2"/>
  <c r="L182" i="16"/>
  <c r="L179" i="16"/>
  <c r="D46" i="18" s="1"/>
  <c r="F46" i="18" s="1"/>
  <c r="L180" i="16"/>
  <c r="L165" i="16"/>
  <c r="D33" i="18" s="1"/>
  <c r="F33" i="18" s="1"/>
  <c r="L172" i="16"/>
  <c r="D40" i="18" s="1"/>
  <c r="F40" i="18" s="1"/>
  <c r="L170" i="16"/>
  <c r="D38" i="18" s="1"/>
  <c r="F38" i="18" s="1"/>
  <c r="L166" i="16"/>
  <c r="D35" i="2"/>
  <c r="D33" i="2"/>
  <c r="D45" i="1"/>
  <c r="D46" i="1"/>
  <c r="D47" i="1"/>
  <c r="D48" i="1"/>
  <c r="L44" i="16"/>
  <c r="L42" i="16"/>
  <c r="L39" i="16"/>
  <c r="L38" i="16"/>
  <c r="D164" i="16"/>
  <c r="D160" i="16"/>
  <c r="J51" i="16"/>
  <c r="F35" i="18" l="1"/>
  <c r="D37" i="1"/>
  <c r="E38" i="17"/>
  <c r="L181" i="16"/>
  <c r="D49" i="18"/>
  <c r="F49" i="18" s="1"/>
  <c r="F48" i="18" s="1"/>
  <c r="D67" i="2"/>
  <c r="D56" i="18"/>
  <c r="F56" i="18" s="1"/>
  <c r="D38" i="1"/>
  <c r="E39" i="17"/>
  <c r="F39" i="17" s="1"/>
  <c r="L40" i="16"/>
  <c r="E42" i="17"/>
  <c r="D45" i="2"/>
  <c r="D34" i="18"/>
  <c r="F34" i="18" s="1"/>
  <c r="F32" i="18" s="1"/>
  <c r="D58" i="2"/>
  <c r="D47" i="18"/>
  <c r="F47" i="18" s="1"/>
  <c r="D43" i="1"/>
  <c r="D42" i="1" s="1"/>
  <c r="E44" i="17"/>
  <c r="D35" i="18"/>
  <c r="L167" i="16"/>
  <c r="D49" i="2"/>
  <c r="D51" i="2"/>
  <c r="L205" i="16"/>
  <c r="L204" i="16" s="1"/>
  <c r="D57" i="2"/>
  <c r="D44" i="1"/>
  <c r="D41" i="1"/>
  <c r="D39" i="1" s="1"/>
  <c r="D44" i="2"/>
  <c r="L164" i="16"/>
  <c r="L218" i="16"/>
  <c r="L45" i="16"/>
  <c r="D34" i="2"/>
  <c r="D75" i="2"/>
  <c r="D60" i="2"/>
  <c r="D59" i="2" s="1"/>
  <c r="D79" i="2"/>
  <c r="D77" i="2" s="1"/>
  <c r="D87" i="2"/>
  <c r="D18" i="1"/>
  <c r="D36" i="1" l="1"/>
  <c r="D43" i="2"/>
  <c r="F42" i="17"/>
  <c r="E40" i="17"/>
  <c r="D48" i="18"/>
  <c r="G57" i="18"/>
  <c r="E43" i="17"/>
  <c r="F44" i="17"/>
  <c r="G34" i="18"/>
  <c r="E37" i="17"/>
  <c r="F38" i="17"/>
  <c r="D32" i="18"/>
  <c r="D46" i="2"/>
  <c r="D35" i="1"/>
  <c r="D86" i="2"/>
  <c r="D83" i="2" s="1"/>
  <c r="E36" i="17" l="1"/>
  <c r="G33" i="18"/>
  <c r="F43" i="17"/>
  <c r="G40" i="18"/>
  <c r="G41" i="18"/>
  <c r="G37" i="18"/>
  <c r="G39" i="18"/>
  <c r="G36" i="18"/>
  <c r="F37" i="17"/>
  <c r="G38" i="18"/>
  <c r="G49" i="18"/>
  <c r="F40" i="17"/>
  <c r="D13" i="1"/>
  <c r="J12" i="16"/>
  <c r="D14" i="1"/>
  <c r="D16" i="1"/>
  <c r="D17" i="1"/>
  <c r="D20" i="1"/>
  <c r="D22" i="1"/>
  <c r="D25" i="1"/>
  <c r="L28" i="16"/>
  <c r="E29" i="17" s="1"/>
  <c r="F29" i="17" s="1"/>
  <c r="K230" i="16"/>
  <c r="K229" i="16" s="1"/>
  <c r="K218" i="16"/>
  <c r="K217" i="16" s="1"/>
  <c r="J217" i="16"/>
  <c r="K214" i="16"/>
  <c r="K213" i="16" s="1"/>
  <c r="K205" i="16"/>
  <c r="K204" i="16" s="1"/>
  <c r="K198" i="16"/>
  <c r="J181" i="16"/>
  <c r="J178" i="16" s="1"/>
  <c r="K164" i="16"/>
  <c r="J164" i="16"/>
  <c r="K160" i="16"/>
  <c r="J160" i="16"/>
  <c r="K148" i="16"/>
  <c r="K141" i="16"/>
  <c r="J141" i="16"/>
  <c r="K137" i="16"/>
  <c r="K136" i="16" s="1"/>
  <c r="J137" i="16"/>
  <c r="J136" i="16" s="1"/>
  <c r="K130" i="16"/>
  <c r="J130" i="16"/>
  <c r="K127" i="16"/>
  <c r="J127" i="16"/>
  <c r="K123" i="16"/>
  <c r="J123" i="16"/>
  <c r="J118" i="16"/>
  <c r="J117" i="16" s="1"/>
  <c r="K92" i="16"/>
  <c r="J92" i="16"/>
  <c r="J70" i="16"/>
  <c r="K59" i="16"/>
  <c r="K51" i="16"/>
  <c r="J45" i="16"/>
  <c r="J36" i="16" s="1"/>
  <c r="K43" i="16"/>
  <c r="J43" i="16"/>
  <c r="K37" i="16"/>
  <c r="J37" i="16"/>
  <c r="K34" i="16"/>
  <c r="K30" i="16" s="1"/>
  <c r="K10" i="16"/>
  <c r="K9" i="16" s="1"/>
  <c r="J10" i="16"/>
  <c r="F36" i="17" l="1"/>
  <c r="G52" i="18"/>
  <c r="G50" i="18"/>
  <c r="G51" i="18"/>
  <c r="J62" i="16"/>
  <c r="J61" i="16" s="1"/>
  <c r="K50" i="16"/>
  <c r="K147" i="16"/>
  <c r="K146" i="16" s="1"/>
  <c r="J9" i="16"/>
  <c r="J122" i="16"/>
  <c r="J121" i="16" s="1"/>
  <c r="K36" i="16"/>
  <c r="K8" i="16" s="1"/>
  <c r="K122" i="16"/>
  <c r="K121" i="16" s="1"/>
  <c r="J140" i="16"/>
  <c r="J132" i="16" s="1"/>
  <c r="D28" i="1"/>
  <c r="K140" i="16"/>
  <c r="K132" i="16" s="1"/>
  <c r="D21" i="1"/>
  <c r="H233" i="16" l="1"/>
  <c r="J233" i="16" s="1"/>
  <c r="J232" i="16" s="1"/>
  <c r="L217" i="16" l="1"/>
  <c r="H51" i="1"/>
  <c r="H52" i="1"/>
  <c r="L43" i="16"/>
  <c r="F37" i="16"/>
  <c r="F198" i="16"/>
  <c r="H218" i="16"/>
  <c r="H217" i="16" s="1"/>
  <c r="D24" i="1"/>
  <c r="M123" i="16" l="1"/>
  <c r="H50" i="1"/>
  <c r="L37" i="16"/>
  <c r="L36" i="16" s="1"/>
  <c r="L27" i="16"/>
  <c r="E28" i="17" s="1"/>
  <c r="F28" i="17" s="1"/>
  <c r="H49" i="1" l="1"/>
  <c r="D27" i="1"/>
  <c r="D23" i="1"/>
  <c r="L26" i="16"/>
  <c r="M230" i="16"/>
  <c r="M229" i="16" s="1"/>
  <c r="M218" i="16"/>
  <c r="M217" i="16" s="1"/>
  <c r="M214" i="16"/>
  <c r="M213" i="16" s="1"/>
  <c r="M205" i="16"/>
  <c r="M204" i="16" s="1"/>
  <c r="M198" i="16"/>
  <c r="M164" i="16"/>
  <c r="M160" i="16"/>
  <c r="M148" i="16"/>
  <c r="M141" i="16"/>
  <c r="L141" i="16"/>
  <c r="L137" i="16"/>
  <c r="L136" i="16" s="1"/>
  <c r="L130" i="16"/>
  <c r="L127" i="16"/>
  <c r="L123" i="16"/>
  <c r="L118" i="16"/>
  <c r="L117" i="16" s="1"/>
  <c r="L92" i="16"/>
  <c r="L74" i="16"/>
  <c r="L70" i="16"/>
  <c r="M59" i="16"/>
  <c r="M51" i="16"/>
  <c r="M45" i="16"/>
  <c r="M36" i="16" s="1"/>
  <c r="M43" i="16"/>
  <c r="M40" i="16"/>
  <c r="M37" i="16"/>
  <c r="M34" i="16"/>
  <c r="M31" i="16"/>
  <c r="M30" i="16" s="1"/>
  <c r="M10" i="16"/>
  <c r="L10" i="16"/>
  <c r="L12" i="16" l="1"/>
  <c r="E27" i="17"/>
  <c r="L62" i="16"/>
  <c r="L140" i="16"/>
  <c r="L132" i="16" s="1"/>
  <c r="H53" i="1"/>
  <c r="C15" i="9" s="1"/>
  <c r="D15" i="9" s="1"/>
  <c r="D26" i="1"/>
  <c r="D19" i="1"/>
  <c r="M147" i="16"/>
  <c r="M146" i="16" s="1"/>
  <c r="M50" i="16"/>
  <c r="M9" i="16"/>
  <c r="L122" i="16"/>
  <c r="L121" i="16" s="1"/>
  <c r="L9" i="16" l="1"/>
  <c r="N12" i="16"/>
  <c r="F27" i="17"/>
  <c r="E13" i="17"/>
  <c r="E10" i="17" s="1"/>
  <c r="D12" i="1"/>
  <c r="D9" i="1" s="1"/>
  <c r="M8" i="16"/>
  <c r="N14" i="16" l="1"/>
  <c r="N16" i="16" s="1"/>
  <c r="P12" i="16"/>
  <c r="F13" i="17"/>
  <c r="F10" i="17" s="1"/>
  <c r="L216" i="16"/>
  <c r="D92" i="2" s="1"/>
  <c r="L195" i="16" l="1"/>
  <c r="F160" i="16" l="1"/>
  <c r="F164" i="16"/>
  <c r="F147" i="16" l="1"/>
  <c r="H205" i="16"/>
  <c r="H204" i="16" s="1"/>
  <c r="H45" i="16"/>
  <c r="C51" i="16"/>
  <c r="E51" i="16"/>
  <c r="J205" i="16" l="1"/>
  <c r="J204" i="16" s="1"/>
  <c r="L212" i="16"/>
  <c r="I82" i="16"/>
  <c r="I74" i="16" s="1"/>
  <c r="H231" i="16"/>
  <c r="H215" i="16"/>
  <c r="J215" i="16" s="1"/>
  <c r="J214" i="16" s="1"/>
  <c r="L201" i="16"/>
  <c r="M144" i="16"/>
  <c r="M143" i="16" s="1"/>
  <c r="I72" i="16"/>
  <c r="I73" i="16"/>
  <c r="I71" i="16"/>
  <c r="I67" i="16"/>
  <c r="H60" i="16"/>
  <c r="L52" i="16"/>
  <c r="H35" i="16"/>
  <c r="L198" i="16" l="1"/>
  <c r="D63" i="18"/>
  <c r="F63" i="18" s="1"/>
  <c r="F61" i="18" s="1"/>
  <c r="L51" i="16"/>
  <c r="E52" i="17"/>
  <c r="I66" i="16"/>
  <c r="M103" i="16"/>
  <c r="H37" i="1"/>
  <c r="H36" i="1" s="1"/>
  <c r="H32" i="1"/>
  <c r="H30" i="1" s="1"/>
  <c r="D52" i="1"/>
  <c r="D51" i="1"/>
  <c r="K82" i="16"/>
  <c r="K74" i="16" s="1"/>
  <c r="J60" i="16"/>
  <c r="L60" i="16" s="1"/>
  <c r="K71" i="16"/>
  <c r="M71" i="16" s="1"/>
  <c r="K72" i="16"/>
  <c r="M72" i="16" s="1"/>
  <c r="L189" i="16"/>
  <c r="L191" i="16"/>
  <c r="J230" i="16"/>
  <c r="J229" i="16" s="1"/>
  <c r="L35" i="16"/>
  <c r="J35" i="16"/>
  <c r="K67" i="16"/>
  <c r="K66" i="16" s="1"/>
  <c r="K73" i="16"/>
  <c r="M73" i="16" s="1"/>
  <c r="L190" i="16"/>
  <c r="H198" i="16"/>
  <c r="H147" i="16" s="1"/>
  <c r="L215" i="16"/>
  <c r="L214" i="16" s="1"/>
  <c r="L213" i="16" s="1"/>
  <c r="H214" i="16"/>
  <c r="D55" i="18" l="1"/>
  <c r="F55" i="18" s="1"/>
  <c r="F45" i="18" s="1"/>
  <c r="D66" i="2"/>
  <c r="D56" i="2" s="1"/>
  <c r="E51" i="17"/>
  <c r="E50" i="17" s="1"/>
  <c r="E8" i="17" s="1"/>
  <c r="E7" i="17" s="1"/>
  <c r="E63" i="17" s="1"/>
  <c r="F52" i="17"/>
  <c r="D61" i="18"/>
  <c r="M67" i="16"/>
  <c r="M66" i="16" s="1"/>
  <c r="M82" i="16"/>
  <c r="K23" i="17" s="1"/>
  <c r="L188" i="16"/>
  <c r="L178" i="16" s="1"/>
  <c r="M140" i="16"/>
  <c r="M132" i="16" s="1"/>
  <c r="M102" i="16"/>
  <c r="D50" i="1"/>
  <c r="D49" i="1" s="1"/>
  <c r="D7" i="1" s="1"/>
  <c r="D6" i="1" s="1"/>
  <c r="M70" i="16"/>
  <c r="J198" i="16"/>
  <c r="K70" i="16"/>
  <c r="K62" i="16" s="1"/>
  <c r="C230" i="16"/>
  <c r="C229" i="16" s="1"/>
  <c r="C70" i="16"/>
  <c r="D70" i="16"/>
  <c r="G59" i="18" l="1"/>
  <c r="G60" i="18"/>
  <c r="G48" i="18"/>
  <c r="G54" i="18"/>
  <c r="G47" i="18"/>
  <c r="G58" i="18"/>
  <c r="G46" i="18"/>
  <c r="G53" i="18"/>
  <c r="G56" i="18"/>
  <c r="L23" i="17"/>
  <c r="K15" i="17"/>
  <c r="F51" i="17"/>
  <c r="F50" i="17" s="1"/>
  <c r="F8" i="17" s="1"/>
  <c r="F7" i="17" s="1"/>
  <c r="F63" i="17" s="1"/>
  <c r="G55" i="18"/>
  <c r="D45" i="18"/>
  <c r="M74" i="16"/>
  <c r="H22" i="1"/>
  <c r="H14" i="1" s="1"/>
  <c r="D74" i="2"/>
  <c r="D72" i="2" s="1"/>
  <c r="G12" i="17" l="1"/>
  <c r="G47" i="17"/>
  <c r="G49" i="17"/>
  <c r="G48" i="17"/>
  <c r="G46" i="17"/>
  <c r="G55" i="17"/>
  <c r="G34" i="17"/>
  <c r="G33" i="17" s="1"/>
  <c r="G32" i="17" s="1"/>
  <c r="G14" i="17"/>
  <c r="G57" i="17"/>
  <c r="G56" i="17"/>
  <c r="G58" i="17"/>
  <c r="G30" i="17"/>
  <c r="G21" i="17"/>
  <c r="G53" i="17"/>
  <c r="G23" i="17"/>
  <c r="G24" i="17"/>
  <c r="G17" i="17"/>
  <c r="G22" i="17"/>
  <c r="G20" i="17"/>
  <c r="G18" i="17"/>
  <c r="G15" i="17"/>
  <c r="G26" i="17"/>
  <c r="G25" i="17"/>
  <c r="G16" i="17"/>
  <c r="G19" i="17"/>
  <c r="G39" i="17"/>
  <c r="G44" i="17"/>
  <c r="G43" i="17" s="1"/>
  <c r="G38" i="17"/>
  <c r="G42" i="17"/>
  <c r="G40" i="17" s="1"/>
  <c r="G29" i="17"/>
  <c r="G28" i="17"/>
  <c r="G27" i="17"/>
  <c r="G52" i="17"/>
  <c r="G65" i="18"/>
  <c r="G62" i="18"/>
  <c r="G64" i="18"/>
  <c r="G63" i="18"/>
  <c r="L15" i="17"/>
  <c r="I198" i="16"/>
  <c r="I205" i="16"/>
  <c r="I204" i="16" s="1"/>
  <c r="I218" i="16"/>
  <c r="I217" i="16" s="1"/>
  <c r="I214" i="16"/>
  <c r="H92" i="16"/>
  <c r="H70" i="16"/>
  <c r="I70" i="16"/>
  <c r="I37" i="16"/>
  <c r="G51" i="17" l="1"/>
  <c r="G37" i="17"/>
  <c r="G13" i="17"/>
  <c r="G10" i="17" s="1"/>
  <c r="G54" i="17"/>
  <c r="G45" i="17"/>
  <c r="I92" i="16"/>
  <c r="I62" i="16" s="1"/>
  <c r="G50" i="17" l="1"/>
  <c r="G36" i="17"/>
  <c r="G8" i="17" s="1"/>
  <c r="H230" i="16"/>
  <c r="I120" i="16"/>
  <c r="D45" i="16"/>
  <c r="I230" i="16"/>
  <c r="I229" i="16" s="1"/>
  <c r="G230" i="16"/>
  <c r="G229" i="16" s="1"/>
  <c r="F230" i="16"/>
  <c r="F229" i="16" s="1"/>
  <c r="E230" i="16"/>
  <c r="E229" i="16" s="1"/>
  <c r="D230" i="16"/>
  <c r="D229" i="16" s="1"/>
  <c r="G218" i="16"/>
  <c r="G217" i="16" s="1"/>
  <c r="F217" i="16"/>
  <c r="F146" i="16" s="1"/>
  <c r="E218" i="16"/>
  <c r="E217" i="16" s="1"/>
  <c r="D217" i="16"/>
  <c r="G214" i="16"/>
  <c r="F214" i="16"/>
  <c r="E214" i="16"/>
  <c r="E213" i="16" s="1"/>
  <c r="D214" i="16"/>
  <c r="D213" i="16" s="1"/>
  <c r="G205" i="16"/>
  <c r="G204" i="16" s="1"/>
  <c r="E205" i="16"/>
  <c r="E204" i="16" s="1"/>
  <c r="G198" i="16"/>
  <c r="E198" i="16"/>
  <c r="D198" i="16"/>
  <c r="I164" i="16"/>
  <c r="G164" i="16"/>
  <c r="E164" i="16"/>
  <c r="I160" i="16"/>
  <c r="G160" i="16"/>
  <c r="E160" i="16"/>
  <c r="G148" i="16"/>
  <c r="E148" i="16"/>
  <c r="C148" i="16"/>
  <c r="C147" i="16" s="1"/>
  <c r="C146" i="16" s="1"/>
  <c r="G141" i="16"/>
  <c r="F141" i="16"/>
  <c r="D141" i="16"/>
  <c r="C141" i="16"/>
  <c r="G137" i="16"/>
  <c r="G136" i="16" s="1"/>
  <c r="F137" i="16"/>
  <c r="E137" i="16"/>
  <c r="D137" i="16"/>
  <c r="D136" i="16" s="1"/>
  <c r="C137" i="16"/>
  <c r="C136" i="16" s="1"/>
  <c r="H130" i="16"/>
  <c r="H122" i="16" s="1"/>
  <c r="H121" i="16" s="1"/>
  <c r="G130" i="16"/>
  <c r="F130" i="16"/>
  <c r="E130" i="16"/>
  <c r="D130" i="16"/>
  <c r="C130" i="16"/>
  <c r="G127" i="16"/>
  <c r="F127" i="16"/>
  <c r="E127" i="16"/>
  <c r="D127" i="16"/>
  <c r="C127" i="16"/>
  <c r="G123" i="16"/>
  <c r="F123" i="16"/>
  <c r="E123" i="16"/>
  <c r="D123" i="16"/>
  <c r="C123" i="16"/>
  <c r="H118" i="16"/>
  <c r="H117" i="16" s="1"/>
  <c r="G118" i="16"/>
  <c r="F118" i="16"/>
  <c r="D118" i="16"/>
  <c r="D117" i="16" s="1"/>
  <c r="C118" i="16"/>
  <c r="C117" i="16" s="1"/>
  <c r="C102" i="16"/>
  <c r="F92" i="16"/>
  <c r="F62" i="16" s="1"/>
  <c r="F61" i="16" s="1"/>
  <c r="G92" i="16"/>
  <c r="G62" i="16" s="1"/>
  <c r="G61" i="16" s="1"/>
  <c r="E92" i="16"/>
  <c r="E62" i="16" s="1"/>
  <c r="E61" i="16" s="1"/>
  <c r="D92" i="16"/>
  <c r="D62" i="16" s="1"/>
  <c r="C63" i="16"/>
  <c r="I59" i="16"/>
  <c r="G59" i="16"/>
  <c r="F59" i="16"/>
  <c r="E59" i="16"/>
  <c r="E50" i="16" s="1"/>
  <c r="D59" i="16"/>
  <c r="C59" i="16"/>
  <c r="I51" i="16"/>
  <c r="G51" i="16"/>
  <c r="F51" i="16"/>
  <c r="D51" i="16"/>
  <c r="F45" i="16"/>
  <c r="I43" i="16"/>
  <c r="G43" i="16"/>
  <c r="F43" i="16"/>
  <c r="E43" i="16"/>
  <c r="D43" i="16"/>
  <c r="C43" i="16"/>
  <c r="G37" i="16"/>
  <c r="E37" i="16"/>
  <c r="D37" i="16"/>
  <c r="C37" i="16"/>
  <c r="I34" i="16"/>
  <c r="I30" i="16" s="1"/>
  <c r="G34" i="16"/>
  <c r="G30" i="16" s="1"/>
  <c r="F34" i="16"/>
  <c r="F30" i="16" s="1"/>
  <c r="E34" i="16"/>
  <c r="E30" i="16" s="1"/>
  <c r="C34" i="16"/>
  <c r="C30" i="16" s="1"/>
  <c r="I10" i="16"/>
  <c r="I9" i="16" s="1"/>
  <c r="H10" i="16"/>
  <c r="H9" i="16" s="1"/>
  <c r="G10" i="16"/>
  <c r="G9" i="16" s="1"/>
  <c r="F10" i="16"/>
  <c r="F9" i="16" s="1"/>
  <c r="E10" i="16"/>
  <c r="E9" i="16" s="1"/>
  <c r="D10" i="16"/>
  <c r="D9" i="16" s="1"/>
  <c r="C10" i="16"/>
  <c r="C9" i="16" s="1"/>
  <c r="G7" i="17" l="1"/>
  <c r="G63" i="17" s="1"/>
  <c r="I147" i="16"/>
  <c r="I146" i="16" s="1"/>
  <c r="I50" i="16"/>
  <c r="G50" i="16"/>
  <c r="F50" i="16"/>
  <c r="C50" i="16"/>
  <c r="I8" i="16"/>
  <c r="G147" i="16"/>
  <c r="G146" i="16" s="1"/>
  <c r="H63" i="16"/>
  <c r="H62" i="16" s="1"/>
  <c r="H61" i="16" s="1"/>
  <c r="M64" i="16"/>
  <c r="D50" i="16"/>
  <c r="E147" i="16"/>
  <c r="E146" i="16" s="1"/>
  <c r="D147" i="16"/>
  <c r="C62" i="16"/>
  <c r="C61" i="16" s="1"/>
  <c r="D61" i="16"/>
  <c r="K120" i="16"/>
  <c r="M120" i="16" s="1"/>
  <c r="M118" i="16" s="1"/>
  <c r="M117" i="16" s="1"/>
  <c r="F36" i="16"/>
  <c r="D36" i="16"/>
  <c r="C36" i="16"/>
  <c r="M92" i="16"/>
  <c r="E36" i="16"/>
  <c r="E8" i="16" s="1"/>
  <c r="C122" i="16"/>
  <c r="C121" i="16" s="1"/>
  <c r="L61" i="16"/>
  <c r="I118" i="16"/>
  <c r="I117" i="16" s="1"/>
  <c r="I61" i="16" s="1"/>
  <c r="M130" i="16"/>
  <c r="H34" i="16"/>
  <c r="H30" i="16" s="1"/>
  <c r="F136" i="16"/>
  <c r="E136" i="16"/>
  <c r="G36" i="16"/>
  <c r="H59" i="16"/>
  <c r="D93" i="2"/>
  <c r="I130" i="16"/>
  <c r="I122" i="16" s="1"/>
  <c r="I121" i="16" s="1"/>
  <c r="E122" i="16"/>
  <c r="E121" i="16" s="1"/>
  <c r="G122" i="16"/>
  <c r="G121" i="16" s="1"/>
  <c r="F122" i="16"/>
  <c r="F121" i="16" s="1"/>
  <c r="H43" i="16"/>
  <c r="H36" i="16" s="1"/>
  <c r="C140" i="16"/>
  <c r="C132" i="16" s="1"/>
  <c r="D122" i="16"/>
  <c r="D121" i="16" s="1"/>
  <c r="D140" i="16"/>
  <c r="D132" i="16" s="1"/>
  <c r="F140" i="16"/>
  <c r="G140" i="16"/>
  <c r="G132" i="16" s="1"/>
  <c r="E141" i="16"/>
  <c r="E140" i="16" s="1"/>
  <c r="D205" i="16"/>
  <c r="D204" i="16" s="1"/>
  <c r="F132" i="16" l="1"/>
  <c r="E132" i="16"/>
  <c r="M122" i="16"/>
  <c r="M121" i="16" s="1"/>
  <c r="N128" i="16"/>
  <c r="M63" i="16"/>
  <c r="M62" i="16" s="1"/>
  <c r="K12" i="17"/>
  <c r="I234" i="16"/>
  <c r="C8" i="16"/>
  <c r="C234" i="16" s="1"/>
  <c r="H11" i="1"/>
  <c r="H10" i="1" s="1"/>
  <c r="H9" i="1" s="1"/>
  <c r="G8" i="16"/>
  <c r="F8" i="16"/>
  <c r="D146" i="16"/>
  <c r="D8" i="16"/>
  <c r="L59" i="16"/>
  <c r="L50" i="16" s="1"/>
  <c r="H50" i="16"/>
  <c r="H8" i="16" s="1"/>
  <c r="L34" i="16"/>
  <c r="L30" i="16" s="1"/>
  <c r="K118" i="16"/>
  <c r="K117" i="16" s="1"/>
  <c r="K61" i="16" s="1"/>
  <c r="D7" i="9"/>
  <c r="J59" i="16"/>
  <c r="J50" i="16" s="1"/>
  <c r="J34" i="16"/>
  <c r="J30" i="16" s="1"/>
  <c r="K11" i="17" l="1"/>
  <c r="K10" i="17" s="1"/>
  <c r="K8" i="17" s="1"/>
  <c r="K7" i="17" s="1"/>
  <c r="L12" i="17"/>
  <c r="L8" i="16"/>
  <c r="J8" i="16"/>
  <c r="K234" i="16"/>
  <c r="E234" i="16"/>
  <c r="M61" i="16"/>
  <c r="D234" i="16"/>
  <c r="C18" i="9"/>
  <c r="M234" i="16" l="1"/>
  <c r="L11" i="17"/>
  <c r="L10" i="17" s="1"/>
  <c r="L8" i="17" s="1"/>
  <c r="L7" i="17" s="1"/>
  <c r="K50" i="17"/>
  <c r="D235" i="16"/>
  <c r="H7" i="1"/>
  <c r="H6" i="1" s="1"/>
  <c r="H45" i="1" s="1"/>
  <c r="L50" i="17" l="1"/>
  <c r="M40" i="17" l="1"/>
  <c r="M35" i="17"/>
  <c r="M33" i="17"/>
  <c r="M45" i="17"/>
  <c r="M44" i="17"/>
  <c r="M37" i="17"/>
  <c r="M36" i="17"/>
  <c r="M29" i="17"/>
  <c r="M18" i="17"/>
  <c r="M27" i="17"/>
  <c r="M41" i="17"/>
  <c r="M17" i="17"/>
  <c r="M19" i="17"/>
  <c r="M42" i="17"/>
  <c r="M22" i="17"/>
  <c r="M21" i="17"/>
  <c r="M26" i="17"/>
  <c r="M49" i="17"/>
  <c r="M48" i="17" s="1"/>
  <c r="M47" i="17" s="1"/>
  <c r="M20" i="17"/>
  <c r="M32" i="17"/>
  <c r="M14" i="17"/>
  <c r="M13" i="17" s="1"/>
  <c r="M28" i="17"/>
  <c r="M46" i="17"/>
  <c r="M43" i="17"/>
  <c r="M16" i="17"/>
  <c r="M25" i="17"/>
  <c r="M23" i="17"/>
  <c r="M12" i="17"/>
  <c r="M11" i="17" s="1"/>
  <c r="D91" i="2"/>
  <c r="M15" i="17" l="1"/>
  <c r="M39" i="17"/>
  <c r="M38" i="17" s="1"/>
  <c r="D59" i="1"/>
  <c r="G234" i="16" l="1"/>
  <c r="F234" i="16" l="1"/>
  <c r="G235" i="16" s="1"/>
  <c r="L233" i="16" l="1"/>
  <c r="L232" i="16" s="1"/>
  <c r="H232" i="16"/>
  <c r="H229" i="16" s="1"/>
  <c r="H146" i="16" s="1"/>
  <c r="H234" i="16" s="1"/>
  <c r="I235" i="16" s="1"/>
  <c r="L149" i="16" l="1"/>
  <c r="D22" i="18" s="1"/>
  <c r="F22" i="18" s="1"/>
  <c r="F21" i="18" s="1"/>
  <c r="F20" i="18" s="1"/>
  <c r="J148" i="16"/>
  <c r="J147" i="16" s="1"/>
  <c r="J146" i="16" s="1"/>
  <c r="F19" i="18" l="1"/>
  <c r="G20" i="18" s="1"/>
  <c r="D21" i="18"/>
  <c r="D20" i="18" s="1"/>
  <c r="D19" i="18" s="1"/>
  <c r="J234" i="16"/>
  <c r="K235" i="16" s="1"/>
  <c r="L148" i="16"/>
  <c r="L147" i="16" s="1"/>
  <c r="D32" i="2"/>
  <c r="D31" i="2" s="1"/>
  <c r="G66" i="18" l="1"/>
  <c r="G77" i="18"/>
  <c r="F83" i="18"/>
  <c r="F85" i="18" s="1"/>
  <c r="D83" i="18"/>
  <c r="L146" i="16"/>
  <c r="O146" i="16" s="1"/>
  <c r="D30" i="2"/>
  <c r="D28" i="2" s="1"/>
  <c r="G78" i="18" l="1"/>
  <c r="F87" i="18"/>
  <c r="G76" i="18" s="1"/>
  <c r="D85" i="18"/>
  <c r="D87" i="18" s="1"/>
  <c r="D101" i="2"/>
  <c r="D103" i="2" s="1"/>
  <c r="D105" i="2" s="1"/>
  <c r="K59" i="17" s="1"/>
  <c r="G21" i="18"/>
  <c r="G23" i="18"/>
  <c r="G24" i="18"/>
  <c r="G22" i="18"/>
  <c r="L234" i="16"/>
  <c r="M235" i="16" s="1"/>
  <c r="C14" i="9" l="1"/>
  <c r="D14" i="9" s="1"/>
  <c r="D13" i="9" s="1"/>
  <c r="D8" i="9" s="1"/>
  <c r="D9" i="9" s="1"/>
  <c r="H57" i="1"/>
  <c r="H48" i="1" s="1"/>
  <c r="H47" i="1" s="1"/>
  <c r="H59" i="1" s="1"/>
  <c r="K57" i="17"/>
  <c r="K52" i="17" s="1"/>
  <c r="K51" i="17" s="1"/>
  <c r="K63" i="17" s="1"/>
  <c r="N64" i="17" s="1"/>
  <c r="L59" i="17"/>
  <c r="L57" i="17" s="1"/>
  <c r="L52" i="17" s="1"/>
  <c r="L51" i="17" s="1"/>
  <c r="M30" i="17" s="1"/>
  <c r="M24" i="17" s="1"/>
  <c r="G42" i="18"/>
  <c r="G28" i="18"/>
  <c r="G32" i="18"/>
  <c r="G35" i="18"/>
  <c r="G45" i="18"/>
  <c r="G61" i="18"/>
  <c r="I60" i="1" l="1"/>
  <c r="H56" i="1"/>
  <c r="M59" i="17"/>
  <c r="M56" i="17"/>
  <c r="M62" i="17"/>
  <c r="M55" i="17"/>
  <c r="M34" i="17"/>
  <c r="M31" i="17" s="1"/>
  <c r="M10" i="17" s="1"/>
  <c r="M8" i="17" s="1"/>
  <c r="M7" i="17" s="1"/>
  <c r="M50" i="17" s="1"/>
  <c r="M54" i="17"/>
  <c r="M58" i="17"/>
  <c r="M57" i="17" s="1"/>
  <c r="M52" i="17" s="1"/>
  <c r="M51" i="17" s="1"/>
  <c r="L63" i="17"/>
  <c r="G75" i="18" l="1"/>
  <c r="G74" i="18" s="1"/>
  <c r="G19" i="18" l="1"/>
  <c r="G83" i="18" l="1"/>
  <c r="G85" i="18" s="1"/>
  <c r="G87" i="18" s="1"/>
</calcChain>
</file>

<file path=xl/sharedStrings.xml><?xml version="1.0" encoding="utf-8"?>
<sst xmlns="http://schemas.openxmlformats.org/spreadsheetml/2006/main" count="722" uniqueCount="349">
  <si>
    <t>AGUAS DEL CHOCÓ S.A.E.S.P</t>
  </si>
  <si>
    <t>NIT.: 900.354.051-1</t>
  </si>
  <si>
    <t xml:space="preserve">ACTIVO </t>
  </si>
  <si>
    <t xml:space="preserve">PASIVO </t>
  </si>
  <si>
    <t xml:space="preserve">ACTIVO CORRIENTE </t>
  </si>
  <si>
    <t xml:space="preserve">PASIVO CORRIENTE </t>
  </si>
  <si>
    <t xml:space="preserve">EFECTIVO </t>
  </si>
  <si>
    <t xml:space="preserve">Caja </t>
  </si>
  <si>
    <t xml:space="preserve">Adquisición de Bienes y Servicios Nacionales </t>
  </si>
  <si>
    <t xml:space="preserve">Caja Principal </t>
  </si>
  <si>
    <t xml:space="preserve">Bienes y Servicios </t>
  </si>
  <si>
    <t xml:space="preserve">Depositos en Inistituciones Financieras </t>
  </si>
  <si>
    <t>Cuenta Corriente Bancolombia (PDA)</t>
  </si>
  <si>
    <t xml:space="preserve">Servicios Públicos </t>
  </si>
  <si>
    <t xml:space="preserve">Cuenta Corriente Agrario  </t>
  </si>
  <si>
    <t xml:space="preserve">Viaticos y Gastos de Viaje </t>
  </si>
  <si>
    <t>Cuenta Corriente Banco de Bogotá (Proyecto Comunidades Indigenas)</t>
  </si>
  <si>
    <t>Aporte  a fondo de Pensiones</t>
  </si>
  <si>
    <t>Cuenta Ahorros (Banco de Bogotá)  (Proyecto Comunidades Indigenas)</t>
  </si>
  <si>
    <t xml:space="preserve">Aportes a Seguridad Social en Salud </t>
  </si>
  <si>
    <t>Cuenta Corriente Bancolombia (Aseguramiento)</t>
  </si>
  <si>
    <t xml:space="preserve">Aportes al ICBF, SENA, ICBF, y Cajas de Compensaciones </t>
  </si>
  <si>
    <t>DEUDORES</t>
  </si>
  <si>
    <t xml:space="preserve">Honorarios </t>
  </si>
  <si>
    <t>Servicios</t>
  </si>
  <si>
    <t xml:space="preserve">Avances y Anticipos Entregados </t>
  </si>
  <si>
    <t xml:space="preserve">Retención en la Fuente </t>
  </si>
  <si>
    <t xml:space="preserve">Avances para Viaticos y Gastos de Viaje </t>
  </si>
  <si>
    <t xml:space="preserve">Avance para adquisicón de Bienes y servicios </t>
  </si>
  <si>
    <t xml:space="preserve">Anticipos para Proyectos de Inversión </t>
  </si>
  <si>
    <t xml:space="preserve">Servicios </t>
  </si>
  <si>
    <t>Otros Deudores</t>
  </si>
  <si>
    <t xml:space="preserve">Arrendamiento </t>
  </si>
  <si>
    <t>Compras</t>
  </si>
  <si>
    <t xml:space="preserve">PROPIEDADES PLANTA Y EQUIPO </t>
  </si>
  <si>
    <t xml:space="preserve">Impuestos, contribuciones y Tasas por pagar </t>
  </si>
  <si>
    <t>Otros Impuestos Departamentales (estampilla - Procultura)</t>
  </si>
  <si>
    <t>Otros Impuestos Departamentales (estampilla - Prodesarrollo)</t>
  </si>
  <si>
    <t xml:space="preserve">Muebles, Enseres y Equipos de Oficina </t>
  </si>
  <si>
    <t xml:space="preserve">Muebles y Enseres </t>
  </si>
  <si>
    <t xml:space="preserve">Equipos y Maquina de Oficina </t>
  </si>
  <si>
    <t xml:space="preserve">Equipos de Comunicaciones y Computación </t>
  </si>
  <si>
    <t xml:space="preserve">Equipos de Trasporte, Tracción y elevación </t>
  </si>
  <si>
    <t>Terrestre</t>
  </si>
  <si>
    <t xml:space="preserve">Cesantías </t>
  </si>
  <si>
    <t xml:space="preserve">Depreciación Acumulada </t>
  </si>
  <si>
    <t xml:space="preserve">Equipo de Trasporte, tracción y elevación </t>
  </si>
  <si>
    <t xml:space="preserve">PATRIMONIO </t>
  </si>
  <si>
    <t xml:space="preserve">OTROS ACTIVOS </t>
  </si>
  <si>
    <t xml:space="preserve">Capital Suscrito y Pagado </t>
  </si>
  <si>
    <t xml:space="preserve">Intangibles </t>
  </si>
  <si>
    <t xml:space="preserve">Capital Autorizado </t>
  </si>
  <si>
    <t xml:space="preserve">Licencias </t>
  </si>
  <si>
    <t xml:space="preserve">Capital Por Suscribir </t>
  </si>
  <si>
    <t xml:space="preserve">Capital Suscrito por Cobrar </t>
  </si>
  <si>
    <t xml:space="preserve">Resultado del Ejercicio </t>
  </si>
  <si>
    <t xml:space="preserve">Patrimonio Institucional Incorporado </t>
  </si>
  <si>
    <t xml:space="preserve">Bienes </t>
  </si>
  <si>
    <t xml:space="preserve">TOTAL ACTIVO </t>
  </si>
  <si>
    <t xml:space="preserve">TOTAL PASIVO MAS PATRIMONIO </t>
  </si>
  <si>
    <t xml:space="preserve">Representante Legal </t>
  </si>
  <si>
    <t>Empresa Aguas del Chocó S.A ESP</t>
  </si>
  <si>
    <t xml:space="preserve">INGRESOS </t>
  </si>
  <si>
    <t xml:space="preserve">ACTIVADADES ORDINARIAS </t>
  </si>
  <si>
    <t xml:space="preserve">Transferencias </t>
  </si>
  <si>
    <t xml:space="preserve">Otras Tranferencias </t>
  </si>
  <si>
    <t xml:space="preserve">Para Proyectos de Inversión </t>
  </si>
  <si>
    <t xml:space="preserve">Para Gastos de Funcionamiento </t>
  </si>
  <si>
    <t xml:space="preserve">Otros Ingresos </t>
  </si>
  <si>
    <t xml:space="preserve">Financieros </t>
  </si>
  <si>
    <t>Intereses Sobre Depositos en Instituciones Financieras</t>
  </si>
  <si>
    <t xml:space="preserve">Extraordinarias </t>
  </si>
  <si>
    <t>GASTOS</t>
  </si>
  <si>
    <t xml:space="preserve">De adminstración </t>
  </si>
  <si>
    <t xml:space="preserve">Sueldos y Salarios </t>
  </si>
  <si>
    <t xml:space="preserve">Sueldos del Personal </t>
  </si>
  <si>
    <t xml:space="preserve">Gastos de Representación </t>
  </si>
  <si>
    <t xml:space="preserve">Prima Vacacional </t>
  </si>
  <si>
    <t xml:space="preserve">Prima de Navidad </t>
  </si>
  <si>
    <t>Vacaciones</t>
  </si>
  <si>
    <t xml:space="preserve">Auxilio de Transporte </t>
  </si>
  <si>
    <t>Casantías</t>
  </si>
  <si>
    <t>Intereses Sobre Censatías</t>
  </si>
  <si>
    <t xml:space="preserve">Capacitación, bienestar social y estimulos </t>
  </si>
  <si>
    <t xml:space="preserve">Prima de Servicios </t>
  </si>
  <si>
    <t xml:space="preserve">Contribuciones Imputadas </t>
  </si>
  <si>
    <t xml:space="preserve">Otras Contribuciones Imputadas </t>
  </si>
  <si>
    <t>Contribuciones Efectivas</t>
  </si>
  <si>
    <t xml:space="preserve">Aportes a Cajas de Compensación Familiar </t>
  </si>
  <si>
    <t xml:space="preserve">Cotización a Riesgos Profesionales </t>
  </si>
  <si>
    <t xml:space="preserve">Generales </t>
  </si>
  <si>
    <t xml:space="preserve">Materiales y Suminstro </t>
  </si>
  <si>
    <t xml:space="preserve">Mantenimientos </t>
  </si>
  <si>
    <t>Energía</t>
  </si>
  <si>
    <t xml:space="preserve">Alumbrado Público </t>
  </si>
  <si>
    <t xml:space="preserve">Telefono </t>
  </si>
  <si>
    <t xml:space="preserve">Acueductoy Alcatarillado </t>
  </si>
  <si>
    <t xml:space="preserve">Publicidad y Propaganda </t>
  </si>
  <si>
    <t xml:space="preserve">Comunicaciones y Trasporte </t>
  </si>
  <si>
    <t xml:space="preserve">Combustible y Lubricantes </t>
  </si>
  <si>
    <t xml:space="preserve">Otros Gastos Generales </t>
  </si>
  <si>
    <t xml:space="preserve">Impuestos, Contribuciones y tasas </t>
  </si>
  <si>
    <t xml:space="preserve">Sanciones </t>
  </si>
  <si>
    <t>Intereses de Mora</t>
  </si>
  <si>
    <t>Provisiones, depreciaciones y amortizaciones</t>
  </si>
  <si>
    <t xml:space="preserve">Depreciación de Propiedades, planta y equipo </t>
  </si>
  <si>
    <t>Maquina y equipo</t>
  </si>
  <si>
    <t xml:space="preserve">Gasto Público Social </t>
  </si>
  <si>
    <t xml:space="preserve">Agua Potable y Saneamiento Basico </t>
  </si>
  <si>
    <t xml:space="preserve">Asignación de Bienes y Servicios </t>
  </si>
  <si>
    <t>REPUBLICA DE COLOMBIA</t>
  </si>
  <si>
    <t>DEPARTAMENTO DEL CHOCO</t>
  </si>
  <si>
    <t>AGUAS DEL CHOCO S.A.E.S.P</t>
  </si>
  <si>
    <t xml:space="preserve">Codigo </t>
  </si>
  <si>
    <t xml:space="preserve">Nombre de la Cuenta </t>
  </si>
  <si>
    <t xml:space="preserve">Debito </t>
  </si>
  <si>
    <t xml:space="preserve">Credito </t>
  </si>
  <si>
    <t xml:space="preserve">ACTIVOS </t>
  </si>
  <si>
    <t xml:space="preserve">Deudas de Dificil Cobro </t>
  </si>
  <si>
    <t xml:space="preserve">Otros Deudores </t>
  </si>
  <si>
    <t xml:space="preserve">Bienes y Servicios Pagados por Anticipado </t>
  </si>
  <si>
    <t xml:space="preserve">Seguros </t>
  </si>
  <si>
    <t>PASIVO</t>
  </si>
  <si>
    <t xml:space="preserve">Cuentas por Pagar </t>
  </si>
  <si>
    <t xml:space="preserve">Servicios Publicos </t>
  </si>
  <si>
    <t xml:space="preserve">Embargos Judiciales </t>
  </si>
  <si>
    <t xml:space="preserve">Rentencion en la Fuenta Contratos de Obra </t>
  </si>
  <si>
    <t>Otras Retenciones (Impuesto sobre la renta para la equidad)</t>
  </si>
  <si>
    <t>Nomina por Pagar</t>
  </si>
  <si>
    <t>Prima de Vacaciones</t>
  </si>
  <si>
    <t>Pasivo Estimodos</t>
  </si>
  <si>
    <t xml:space="preserve">Provisión para prestaciones sociales </t>
  </si>
  <si>
    <t xml:space="preserve">Patrimonio Institucional </t>
  </si>
  <si>
    <t xml:space="preserve">Utilidad o Excedente del Ejercicio Anterior </t>
  </si>
  <si>
    <t xml:space="preserve">Utilidad o Excedente del Ejercicio </t>
  </si>
  <si>
    <t xml:space="preserve">Cotización a Seguridad Social en Salud </t>
  </si>
  <si>
    <t>Aportes Sobre Nomina</t>
  </si>
  <si>
    <t>Aportes al ICBF</t>
  </si>
  <si>
    <t xml:space="preserve">Aportes al SENA </t>
  </si>
  <si>
    <t xml:space="preserve">Impresos, Publicaciones, Suscripciones y Afiliaciones </t>
  </si>
  <si>
    <t xml:space="preserve">Seguros Generales </t>
  </si>
  <si>
    <t>Gastos Legales</t>
  </si>
  <si>
    <t xml:space="preserve">Gravamen a los Movimientos Financieros </t>
  </si>
  <si>
    <t>TOTAL</t>
  </si>
  <si>
    <t xml:space="preserve">DETALLE DE LAS VARIACIONES PATRIMONIALES </t>
  </si>
  <si>
    <t xml:space="preserve">VARIACIÓN </t>
  </si>
  <si>
    <t xml:space="preserve">PARTIDAS SIN VARIACIÓN </t>
  </si>
  <si>
    <t>Contador Empresa Aguas del Chocó S.A ESP</t>
  </si>
  <si>
    <t>Recuperaciones</t>
  </si>
  <si>
    <t>Cuenta Ahorros (Banco Av Villas) - (Proyecto Filtros)</t>
  </si>
  <si>
    <t>Cesantias</t>
  </si>
  <si>
    <t>Cuenta Corriente (Banco de Bogota) - Conv. Mu/pio ISTMINA</t>
  </si>
  <si>
    <t>Cuenta Corriente (Banco de Bogota) - Conv. Mu/pio ACANDI</t>
  </si>
  <si>
    <t>Cuenta Corriente (Banco de Bogota) - Conv. Carmen del Darien</t>
  </si>
  <si>
    <t>Cuenta Corriente (Banco de Bogota) - Conv. Mu/pio TADO</t>
  </si>
  <si>
    <t xml:space="preserve">Resultado de Ejercicios Anteriores </t>
  </si>
  <si>
    <t>Otros Impuestos Departamentales (estampilla - ProUniversidad)</t>
  </si>
  <si>
    <t>Otros Impuestos Departamentales (estampilla - Pro-Cultura)</t>
  </si>
  <si>
    <t>Otros Impuestos Departamentales (estampilla - Pro-Desarrollo)</t>
  </si>
  <si>
    <t>Cuenta Corriente (banco de Bogota) Convenio Mupio Tadó</t>
  </si>
  <si>
    <t>Cuenta Ahorros Banco Av Villas (Filtros)</t>
  </si>
  <si>
    <t>Otras Transferencias, proyectos de inversión</t>
  </si>
  <si>
    <t>Cuenta Corriente (banco de Bogota) Convenio Mupio Istmina</t>
  </si>
  <si>
    <t>Cuenta Corriente (banco de Bogota) Convenio Mupio Acandí</t>
  </si>
  <si>
    <t>Cuenta Corriente (banco de Bogota) Convenio Mupio Carmen del C.</t>
  </si>
  <si>
    <t>Transferencias</t>
  </si>
  <si>
    <t>Otras Transferencias</t>
  </si>
  <si>
    <t>Otros Impuestos (Comision e Iva)</t>
  </si>
  <si>
    <t>Otras Transferencias - Proyectos de Inversion</t>
  </si>
  <si>
    <t>Otros  intangibles - Seguros</t>
  </si>
  <si>
    <t>Tado</t>
  </si>
  <si>
    <t>carmen del Darien</t>
  </si>
  <si>
    <t>acandí</t>
  </si>
  <si>
    <t>itsmina</t>
  </si>
  <si>
    <t>comunidades indigenas</t>
  </si>
  <si>
    <t>Aseguramiento</t>
  </si>
  <si>
    <t>Bienes y Servicios Pagados por Anticipado</t>
  </si>
  <si>
    <t>Movimiento 2o Trimestre</t>
  </si>
  <si>
    <r>
      <t xml:space="preserve">EFECTIVO  </t>
    </r>
    <r>
      <rPr>
        <b/>
        <sz val="9"/>
        <rFont val="Calibri"/>
        <family val="2"/>
        <scheme val="minor"/>
      </rPr>
      <t xml:space="preserve">                        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</t>
    </r>
    <r>
      <rPr>
        <b/>
        <sz val="8"/>
        <color theme="1" tint="0.499984740745262"/>
        <rFont val="Calibri"/>
        <family val="2"/>
        <scheme val="minor"/>
      </rPr>
      <t xml:space="preserve"> Nota #3</t>
    </r>
  </si>
  <si>
    <r>
      <t xml:space="preserve">PROPIEDADES PLANTA Y EQUIPO </t>
    </r>
    <r>
      <rPr>
        <b/>
        <sz val="9"/>
        <rFont val="Calibri"/>
        <family val="2"/>
        <scheme val="minor"/>
      </rPr>
      <t xml:space="preserve">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#5</t>
    </r>
  </si>
  <si>
    <r>
      <t xml:space="preserve">Cuentas por Pagar </t>
    </r>
    <r>
      <rPr>
        <b/>
        <sz val="9"/>
        <rFont val="Calibri"/>
        <family val="2"/>
        <scheme val="minor"/>
      </rPr>
      <t xml:space="preserve">                     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#7</t>
    </r>
  </si>
  <si>
    <t xml:space="preserve">TOTAL PASIVO                   </t>
  </si>
  <si>
    <t xml:space="preserve">Movimiento 1er Trimestre </t>
  </si>
  <si>
    <t>NIT.: 900354051-1</t>
  </si>
  <si>
    <t>NIT: 900354051-1</t>
  </si>
  <si>
    <t>Impuesto Sobre Vehiculo Automotor</t>
  </si>
  <si>
    <t>Servicio de Acueducto</t>
  </si>
  <si>
    <t>Servicio de Alcantarillado</t>
  </si>
  <si>
    <t>Servicio de Aseo</t>
  </si>
  <si>
    <t>Cuenta Corriente (banco de Bogota) Convenio Municipio de Unguia</t>
  </si>
  <si>
    <t>Cuenta Corriente (banco de Bogota) Convenio Municipio de Condoto</t>
  </si>
  <si>
    <t>Cuenta Corriente (banco de Bogota) Convenio Municipio de Rio Iró</t>
  </si>
  <si>
    <t>Otros Impuestos Departamentales (estampilla - ProAncianato)</t>
  </si>
  <si>
    <t>Subsidio Asignados</t>
  </si>
  <si>
    <t>Transferencia por Pagar</t>
  </si>
  <si>
    <t>Amortización Intangible</t>
  </si>
  <si>
    <t>Extraordinario</t>
  </si>
  <si>
    <t xml:space="preserve">perdida en Excisiones </t>
  </si>
  <si>
    <t>Fondo de Seguridad</t>
  </si>
  <si>
    <t xml:space="preserve">Otras Transferencias - Proyectos de Inversion </t>
  </si>
  <si>
    <t>Otros Impuestos Departamentales (estampilla -Proancianato)</t>
  </si>
  <si>
    <t>Cuenta Corriente (banco de Bogota) Convenio Municipio de Unión Panamericana</t>
  </si>
  <si>
    <t xml:space="preserve">ESTADO DE CAMBIO EN EL PATRIMINIO </t>
  </si>
  <si>
    <t>AUMENTO</t>
  </si>
  <si>
    <r>
      <t xml:space="preserve">Reviso: </t>
    </r>
    <r>
      <rPr>
        <i/>
        <sz val="8"/>
        <rFont val="Century Gothic"/>
        <family val="2"/>
      </rPr>
      <t xml:space="preserve">Leidy Yomaira Andrade Caballero. - Financiera </t>
    </r>
  </si>
  <si>
    <r>
      <t xml:space="preserve">Reviso: </t>
    </r>
    <r>
      <rPr>
        <sz val="8"/>
        <rFont val="Century Gothic"/>
        <family val="2"/>
      </rPr>
      <t xml:space="preserve">Leidy Yomaira Andrade Caballero - Financiera </t>
    </r>
  </si>
  <si>
    <t>Movimiento 3er Trimestre</t>
  </si>
  <si>
    <t>Cuenta Corriente (banco de Bogota) Convenio Municipio de Lloró</t>
  </si>
  <si>
    <t>A empleados Art 383</t>
  </si>
  <si>
    <t>Movimiento 4o Trimestre</t>
  </si>
  <si>
    <t xml:space="preserve">Saldos a 31  de Diciembre </t>
  </si>
  <si>
    <t>Cuenta Corriente  Banco Av Villas (PDA)</t>
  </si>
  <si>
    <t>Cuenta Corriente (Banco Av Villas) - PDA</t>
  </si>
  <si>
    <t>Cuenta Ahorro (banco de Bogota) Convenio Municipio de Sipí</t>
  </si>
  <si>
    <t>Bonificaciones</t>
  </si>
  <si>
    <t>PRESTACIONES SOCIALES</t>
  </si>
  <si>
    <t>GASTOS DE PERSONAL DIVERSO</t>
  </si>
  <si>
    <t>Remuneración por servicios Tecnicos</t>
  </si>
  <si>
    <t xml:space="preserve">Cuenta Corriente (banco de Bogota) Convenio Municipio de Sipí </t>
  </si>
  <si>
    <t>Embargos Judiciales</t>
  </si>
  <si>
    <t>Arrendamiento</t>
  </si>
  <si>
    <t xml:space="preserve">Revisor Fiscal </t>
  </si>
  <si>
    <t xml:space="preserve">T.P. 36088 - T </t>
  </si>
  <si>
    <t>T.P  36088 - T</t>
  </si>
  <si>
    <t>MARIO ONED PARRA MOSQUERA</t>
  </si>
  <si>
    <t>Revisor Fiscal Empresa Aguas del Chocó S.A ESP</t>
  </si>
  <si>
    <t>Cuenta Corriente (banco de Bogota) Convenio Municipio de Union P.</t>
  </si>
  <si>
    <t>Arriendo Hosting</t>
  </si>
  <si>
    <t>Contratos de Obras</t>
  </si>
  <si>
    <t>Otros Impuestos Departamentales (estampilla - Pro-Universidad)</t>
  </si>
  <si>
    <t xml:space="preserve">DEFICIT DEL EJERCICIO </t>
  </si>
  <si>
    <t>Poliza de Manejo y Seguro Todo riesgo</t>
  </si>
  <si>
    <t>DE ACTIVIDADES ORDINARIAS</t>
  </si>
  <si>
    <t>Intereses a las Cesantias</t>
  </si>
  <si>
    <t>Prima de Navidad</t>
  </si>
  <si>
    <t>Trasferencias por Cobrar y Otros deudores</t>
  </si>
  <si>
    <t>Otras Cuentas por Cobrar</t>
  </si>
  <si>
    <t>Otros Avances y Anticipos (Construcción de insfraestructura)</t>
  </si>
  <si>
    <t>Trasferencias por Cobrar (Otras transf. y otros Deudores)</t>
  </si>
  <si>
    <t>Equipo de Computación  y Comunicación</t>
  </si>
  <si>
    <t>Provisiones laborales (Cesantias)</t>
  </si>
  <si>
    <t>Equipos de Computación y comunicación</t>
  </si>
  <si>
    <t xml:space="preserve">Otros Avances(Avances para construcción de infraestructura) </t>
  </si>
  <si>
    <t>ESTADO DE SITUACION FINANCIERA</t>
  </si>
  <si>
    <t>Contador - Empresa Aguas del Chocó S.A ESP</t>
  </si>
  <si>
    <t>Revisora Fiscal - Empresa Aguas del Chocó S.A ESP</t>
  </si>
  <si>
    <t>OTROS ACTIVOS</t>
  </si>
  <si>
    <t>CUENTAS POR COBRAR</t>
  </si>
  <si>
    <t>ESTADO DE RESULTADO</t>
  </si>
  <si>
    <r>
      <rPr>
        <b/>
        <sz val="9"/>
        <rFont val="Calibri"/>
        <family val="2"/>
        <scheme val="minor"/>
      </rPr>
      <t xml:space="preserve">AVANCES Y ANTICIPOS ENTREGADOS                        </t>
    </r>
    <r>
      <rPr>
        <b/>
        <sz val="9"/>
        <color theme="1" tint="0.499984740745262"/>
        <rFont val="Calibri"/>
        <family val="2"/>
        <scheme val="minor"/>
      </rPr>
      <t xml:space="preserve"> Nota #6</t>
    </r>
  </si>
  <si>
    <t>GASTOS DIVERSOS</t>
  </si>
  <si>
    <t>Saldo a 31 dic 2019</t>
  </si>
  <si>
    <t>Otros Acreedores - Servicios</t>
  </si>
  <si>
    <t>Ingresos Diversos</t>
  </si>
  <si>
    <t>Amosrtizacion de Activos Intangibles</t>
  </si>
  <si>
    <t>Otros  intangibles - Seguros y Hosting</t>
  </si>
  <si>
    <t>Gravamen movimiento financiero</t>
  </si>
  <si>
    <t>EDINSON OREJUELA PINO</t>
  </si>
  <si>
    <t>T.P. 55085 - T</t>
  </si>
  <si>
    <t>Vacacioners</t>
  </si>
  <si>
    <t>Intereses a las cesantias</t>
  </si>
  <si>
    <t>Gastos de personal diversos</t>
  </si>
  <si>
    <t>Remunberacion por servicioos tecnicos</t>
  </si>
  <si>
    <t>Arrendamiento operativo</t>
  </si>
  <si>
    <t>Otras cuentas por pagar</t>
  </si>
  <si>
    <t>Descuientos de nomina</t>
  </si>
  <si>
    <t>Descuentos de nomina</t>
  </si>
  <si>
    <t>Impuestos a las ventas retenidos</t>
  </si>
  <si>
    <t>Otras retenciones</t>
  </si>
  <si>
    <t>Rentas de trabajo</t>
  </si>
  <si>
    <t>Beneficios a los empleados</t>
  </si>
  <si>
    <t>Beneficvios a los empleados a corto plazo</t>
  </si>
  <si>
    <t>Aporte Riesgo Laborales</t>
  </si>
  <si>
    <t>Beneficios a los Empleados</t>
  </si>
  <si>
    <t>Beneficios a los Empleado a Corto Plazo</t>
  </si>
  <si>
    <r>
      <t>Patrimonio de Las Empresas</t>
    </r>
    <r>
      <rPr>
        <b/>
        <sz val="9"/>
        <rFont val="Calibri"/>
        <family val="2"/>
        <scheme val="minor"/>
      </rPr>
      <t xml:space="preserve">                           </t>
    </r>
    <r>
      <rPr>
        <b/>
        <sz val="9"/>
        <color theme="1" tint="0.499984740745262"/>
        <rFont val="Calibri"/>
        <family val="2"/>
        <scheme val="minor"/>
      </rPr>
      <t>Nota #8</t>
    </r>
  </si>
  <si>
    <t>Resultado de Ejercicio Anteriores</t>
  </si>
  <si>
    <t>Utilidad o Excedente Acumulados</t>
  </si>
  <si>
    <t>Utilidad o Excedente del Ejercicio</t>
  </si>
  <si>
    <t>Cierre de Ingresos, Gastos y Costos</t>
  </si>
  <si>
    <t>Aportres al ICBF y SENA</t>
  </si>
  <si>
    <t>Otros i ngresos diversos</t>
  </si>
  <si>
    <t>Prima de vacaciones</t>
  </si>
  <si>
    <t>Otros gastos</t>
  </si>
  <si>
    <t>Gastos diversos</t>
  </si>
  <si>
    <t>Multas y sanciones</t>
  </si>
  <si>
    <t>Otros intereses por cobrar</t>
  </si>
  <si>
    <t>Otros ingresos diversos</t>
  </si>
  <si>
    <t xml:space="preserve">Multas y Sanciones </t>
  </si>
  <si>
    <t xml:space="preserve">                                                     Representante Legal </t>
  </si>
  <si>
    <t xml:space="preserve">                                               Empresa Aguas del Chocó S.A ESP</t>
  </si>
  <si>
    <t xml:space="preserve">                    EDINSON OREJUELA PINO</t>
  </si>
  <si>
    <t xml:space="preserve">           Contador </t>
  </si>
  <si>
    <t xml:space="preserve">       T.P. 55085 - T</t>
  </si>
  <si>
    <t xml:space="preserve">                        MARIO ONED PARRA MOSQUERA</t>
  </si>
  <si>
    <t xml:space="preserve">                                 Revisor Fiscal </t>
  </si>
  <si>
    <t xml:space="preserve">                                 T.P. 36088 - T </t>
  </si>
  <si>
    <t>Bonificacion de recreacion</t>
  </si>
  <si>
    <t>Elementos de aseo cafeteria y lavanderia</t>
  </si>
  <si>
    <t>Elemen tos de aseo, lavanderia y cafeteria</t>
  </si>
  <si>
    <t>gastos legales</t>
  </si>
  <si>
    <t>Equipo de comunicación</t>
  </si>
  <si>
    <t>Seguros generales</t>
  </si>
  <si>
    <t>Saldo del patrimonio a 31 de diciembre de 2021</t>
  </si>
  <si>
    <t>ESTADO DE SITUACION FINANCIERA COMPARATIVO</t>
  </si>
  <si>
    <t>DIFERENCIA</t>
  </si>
  <si>
    <t>%</t>
  </si>
  <si>
    <t>Pasivos estimados</t>
  </si>
  <si>
    <t>Provision para prestaciones sociales</t>
  </si>
  <si>
    <t>Patrimonio institucional incorporado</t>
  </si>
  <si>
    <t>Bnonificaciones</t>
  </si>
  <si>
    <t>ESTADO DE RESULTADO COMPARATIVO</t>
  </si>
  <si>
    <t xml:space="preserve">Recuperaciones </t>
  </si>
  <si>
    <t xml:space="preserve">Contador </t>
  </si>
  <si>
    <t>Intereses de mora</t>
  </si>
  <si>
    <t>Devoluciones y descuentos (DB)</t>
  </si>
  <si>
    <t>Contribuciones, tasas e ingresos no tributarios</t>
  </si>
  <si>
    <t>Ingresos fiscales</t>
  </si>
  <si>
    <t>Cointribuciones, tasaa e ingresos no tributarios</t>
  </si>
  <si>
    <t xml:space="preserve"> EMPRESA AGUAS DEL CHOCÓ S.A.E.S.P</t>
  </si>
  <si>
    <t>EMPRESA AGUAS DEL CHOCÓ S.A.E.S.P</t>
  </si>
  <si>
    <t xml:space="preserve">   Contador - Empresa Aguas del Chocó S.A ESP</t>
  </si>
  <si>
    <r>
      <t xml:space="preserve">EFECTIVO  </t>
    </r>
    <r>
      <rPr>
        <b/>
        <sz val="7"/>
        <rFont val="Calibri"/>
        <family val="2"/>
        <scheme val="minor"/>
      </rPr>
      <t xml:space="preserve">                                                              </t>
    </r>
    <r>
      <rPr>
        <b/>
        <sz val="7"/>
        <color theme="1" tint="0.499984740745262"/>
        <rFont val="Calibri"/>
        <family val="2"/>
        <scheme val="minor"/>
      </rPr>
      <t>Nota #3</t>
    </r>
  </si>
  <si>
    <r>
      <t xml:space="preserve">Cuentas por Pagar </t>
    </r>
    <r>
      <rPr>
        <b/>
        <sz val="7"/>
        <rFont val="Calibri"/>
        <family val="2"/>
        <scheme val="minor"/>
      </rPr>
      <t xml:space="preserve">                                             </t>
    </r>
    <r>
      <rPr>
        <b/>
        <sz val="7"/>
        <color theme="1" tint="0.499984740745262"/>
        <rFont val="Calibri"/>
        <family val="2"/>
        <scheme val="minor"/>
      </rPr>
      <t xml:space="preserve"> Nota #7</t>
    </r>
  </si>
  <si>
    <r>
      <t xml:space="preserve">PROPIEDADES PLANTA Y EQUIPO </t>
    </r>
    <r>
      <rPr>
        <b/>
        <sz val="7"/>
        <rFont val="Calibri"/>
        <family val="2"/>
        <scheme val="minor"/>
      </rPr>
      <t xml:space="preserve">               </t>
    </r>
    <r>
      <rPr>
        <b/>
        <sz val="7"/>
        <color theme="1" tint="0.499984740745262"/>
        <rFont val="Calibri"/>
        <family val="2"/>
        <scheme val="minor"/>
      </rPr>
      <t>Nota #5</t>
    </r>
  </si>
  <si>
    <r>
      <t>Patrimonio de Las Empresas</t>
    </r>
    <r>
      <rPr>
        <b/>
        <sz val="7"/>
        <rFont val="Calibri"/>
        <family val="2"/>
        <scheme val="minor"/>
      </rPr>
      <t xml:space="preserve">                           </t>
    </r>
    <r>
      <rPr>
        <b/>
        <sz val="7"/>
        <color theme="1" tint="0.499984740745262"/>
        <rFont val="Calibri"/>
        <family val="2"/>
        <scheme val="minor"/>
      </rPr>
      <t>Nota #8</t>
    </r>
  </si>
  <si>
    <r>
      <t xml:space="preserve">AVANCES Y ANTICIPOS ENTREGADOS         </t>
    </r>
    <r>
      <rPr>
        <b/>
        <sz val="7"/>
        <color theme="1" tint="0.499984740745262"/>
        <rFont val="Calibri"/>
        <family val="2"/>
        <scheme val="minor"/>
      </rPr>
      <t>Nota #6</t>
    </r>
  </si>
  <si>
    <t xml:space="preserve">             ACTIVADADES ORDINARIAS </t>
  </si>
  <si>
    <t>Otros gastos financieros</t>
  </si>
  <si>
    <t>Financieros</t>
  </si>
  <si>
    <t>COMPARATIVO</t>
  </si>
  <si>
    <t>LIBRO MAYOR Y BALANCE VIGENCIA 2022</t>
  </si>
  <si>
    <t>Otros Impuestos Departamentales (estampilla - ProDeporte)</t>
  </si>
  <si>
    <t>ANA MARIA CORDOBA LOZANO</t>
  </si>
  <si>
    <t>X</t>
  </si>
  <si>
    <t>Sentencias</t>
  </si>
  <si>
    <t>COMPARATIVO DICIEMBRE 2021 - JUNIO 2022</t>
  </si>
  <si>
    <t>Licencias</t>
  </si>
  <si>
    <t xml:space="preserve"> A 30 DE JUNIO DE 2022</t>
  </si>
  <si>
    <t>A 30 DE JUNIO DE 2022</t>
  </si>
  <si>
    <t>Otros Impuestos Departamentales (estampilla -Prodeporte)</t>
  </si>
  <si>
    <t>JUNIO 2022 - DICIEMBRE DE 2021</t>
  </si>
  <si>
    <t>Variación Patrimonial a 30 de junio de 2022</t>
  </si>
  <si>
    <t>Saldo del patrimonio a 30 de junio de 2022</t>
  </si>
  <si>
    <t>Representante Legal</t>
  </si>
  <si>
    <t xml:space="preserve">Representante Legal. </t>
  </si>
  <si>
    <t>Representante Legal.</t>
  </si>
  <si>
    <t xml:space="preserve">                                                ANA MARIA CORDOBA LOZANO</t>
  </si>
  <si>
    <t xml:space="preserve"> ANA MARIA CORDOBA 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</si>
</sst>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_-;_-@_-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  <numFmt numFmtId="168" formatCode="#,##0_ ;\-#,##0\ "/>
    <numFmt numFmtId="169" formatCode="_-* #,##0\ _€_-;\-* #,##0\ _€_-;_-* &quot;-&quot;??\ _€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u/>
      <sz val="10"/>
      <name val="Century Gothic"/>
      <family val="2"/>
    </font>
    <font>
      <b/>
      <u/>
      <sz val="9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b/>
      <u val="singleAccounting"/>
      <sz val="9"/>
      <name val="Century Gothic"/>
      <family val="2"/>
    </font>
    <font>
      <b/>
      <i/>
      <sz val="8"/>
      <name val="Century Gothic"/>
      <family val="2"/>
    </font>
    <font>
      <b/>
      <i/>
      <sz val="9"/>
      <name val="Century Gothic"/>
      <family val="2"/>
    </font>
    <font>
      <sz val="11"/>
      <color theme="1"/>
      <name val="Century Gothic"/>
      <family val="2"/>
    </font>
    <font>
      <sz val="9"/>
      <name val="Arial Unicode MS"/>
      <family val="2"/>
    </font>
    <font>
      <b/>
      <sz val="9"/>
      <name val="Arial Unicode MS"/>
      <family val="2"/>
    </font>
    <font>
      <b/>
      <sz val="8"/>
      <name val="Century Gothic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8"/>
      <name val="Century Gothic"/>
      <family val="2"/>
    </font>
    <font>
      <i/>
      <sz val="8"/>
      <name val="Century Gothic"/>
      <family val="2"/>
    </font>
    <font>
      <sz val="11"/>
      <name val="Calibri"/>
      <family val="2"/>
      <scheme val="minor"/>
    </font>
    <font>
      <sz val="9"/>
      <color rgb="FF00B050"/>
      <name val="Century Gothic"/>
      <family val="2"/>
    </font>
    <font>
      <b/>
      <sz val="9"/>
      <color rgb="FF00B050"/>
      <name val="Century Gothic"/>
      <family val="2"/>
    </font>
    <font>
      <u/>
      <sz val="9"/>
      <color rgb="FF00B050"/>
      <name val="Century Gothic"/>
      <family val="2"/>
    </font>
    <font>
      <b/>
      <u/>
      <sz val="9"/>
      <color rgb="FF00B050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trike/>
      <sz val="8"/>
      <color theme="1"/>
      <name val="Century Gothic"/>
      <family val="2"/>
    </font>
    <font>
      <b/>
      <u/>
      <sz val="8"/>
      <name val="Century Gothic"/>
      <family val="2"/>
    </font>
    <font>
      <b/>
      <u/>
      <sz val="10"/>
      <color theme="1"/>
      <name val="Century Gothic"/>
      <family val="2"/>
    </font>
    <font>
      <b/>
      <sz val="7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u/>
      <sz val="7"/>
      <name val="Calibri"/>
      <family val="2"/>
      <scheme val="minor"/>
    </font>
    <font>
      <b/>
      <sz val="7"/>
      <color theme="1" tint="0.499984740745262"/>
      <name val="Calibri"/>
      <family val="2"/>
      <scheme val="minor"/>
    </font>
    <font>
      <sz val="7"/>
      <name val="Calibri"/>
      <family val="2"/>
      <scheme val="minor"/>
    </font>
    <font>
      <sz val="7"/>
      <name val="Century Gothic"/>
      <family val="2"/>
    </font>
    <font>
      <sz val="7"/>
      <color theme="1"/>
      <name val="Arial Narrow"/>
      <family val="2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u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0">
    <xf numFmtId="0" fontId="0" fillId="0" borderId="0" xfId="0"/>
    <xf numFmtId="0" fontId="2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0" borderId="0" xfId="0" applyFont="1"/>
    <xf numFmtId="0" fontId="8" fillId="0" borderId="0" xfId="0" applyFont="1"/>
    <xf numFmtId="0" fontId="2" fillId="0" borderId="4" xfId="0" applyFont="1" applyBorder="1"/>
    <xf numFmtId="165" fontId="2" fillId="0" borderId="0" xfId="1" applyFont="1" applyFill="1" applyBorder="1"/>
    <xf numFmtId="0" fontId="2" fillId="0" borderId="5" xfId="0" applyFont="1" applyBorder="1"/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2" fillId="0" borderId="8" xfId="0" applyFont="1" applyBorder="1"/>
    <xf numFmtId="0" fontId="8" fillId="0" borderId="0" xfId="0" applyFont="1" applyAlignment="1">
      <alignment horizontal="center"/>
    </xf>
    <xf numFmtId="3" fontId="1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1" fillId="0" borderId="9" xfId="0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/>
    <xf numFmtId="0" fontId="10" fillId="0" borderId="10" xfId="0" applyFont="1" applyBorder="1"/>
    <xf numFmtId="3" fontId="10" fillId="0" borderId="0" xfId="0" applyNumberFormat="1" applyFont="1" applyAlignment="1">
      <alignment horizontal="right" wrapText="1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" fontId="11" fillId="0" borderId="5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right"/>
    </xf>
    <xf numFmtId="0" fontId="2" fillId="0" borderId="7" xfId="0" applyFont="1" applyBorder="1"/>
    <xf numFmtId="0" fontId="10" fillId="0" borderId="7" xfId="0" applyFont="1" applyBorder="1" applyAlignment="1">
      <alignment horizontal="right"/>
    </xf>
    <xf numFmtId="0" fontId="13" fillId="0" borderId="0" xfId="0" applyFont="1"/>
    <xf numFmtId="0" fontId="11" fillId="0" borderId="0" xfId="0" applyFont="1"/>
    <xf numFmtId="167" fontId="10" fillId="0" borderId="0" xfId="1" applyNumberFormat="1" applyFont="1" applyFill="1"/>
    <xf numFmtId="167" fontId="10" fillId="0" borderId="0" xfId="1" applyNumberFormat="1" applyFont="1" applyFill="1" applyBorder="1"/>
    <xf numFmtId="3" fontId="10" fillId="0" borderId="0" xfId="0" applyNumberFormat="1" applyFont="1"/>
    <xf numFmtId="0" fontId="18" fillId="0" borderId="4" xfId="0" applyFont="1" applyBorder="1"/>
    <xf numFmtId="3" fontId="11" fillId="0" borderId="0" xfId="0" applyNumberFormat="1" applyFont="1"/>
    <xf numFmtId="0" fontId="10" fillId="0" borderId="4" xfId="0" applyFont="1" applyBorder="1"/>
    <xf numFmtId="167" fontId="11" fillId="0" borderId="0" xfId="1" applyNumberFormat="1" applyFont="1" applyFill="1" applyBorder="1" applyAlignment="1">
      <alignment horizontal="center"/>
    </xf>
    <xf numFmtId="167" fontId="18" fillId="0" borderId="0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167" fontId="10" fillId="0" borderId="7" xfId="1" applyNumberFormat="1" applyFont="1" applyFill="1" applyBorder="1"/>
    <xf numFmtId="0" fontId="10" fillId="0" borderId="7" xfId="0" applyFont="1" applyBorder="1"/>
    <xf numFmtId="167" fontId="10" fillId="0" borderId="0" xfId="1" applyNumberFormat="1" applyFont="1" applyFill="1" applyBorder="1" applyAlignment="1">
      <alignment horizontal="left" vertical="center"/>
    </xf>
    <xf numFmtId="167" fontId="10" fillId="0" borderId="0" xfId="1" applyNumberFormat="1" applyFont="1" applyFill="1" applyBorder="1" applyAlignment="1">
      <alignment horizontal="left"/>
    </xf>
    <xf numFmtId="0" fontId="20" fillId="0" borderId="4" xfId="0" applyFont="1" applyBorder="1"/>
    <xf numFmtId="167" fontId="20" fillId="0" borderId="0" xfId="1" applyNumberFormat="1" applyFont="1" applyFill="1" applyBorder="1"/>
    <xf numFmtId="0" fontId="20" fillId="0" borderId="0" xfId="0" applyFont="1"/>
    <xf numFmtId="0" fontId="10" fillId="2" borderId="0" xfId="0" applyFont="1" applyFill="1"/>
    <xf numFmtId="0" fontId="11" fillId="2" borderId="9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left" vertical="center"/>
    </xf>
    <xf numFmtId="0" fontId="10" fillId="3" borderId="0" xfId="0" applyFont="1" applyFill="1"/>
    <xf numFmtId="0" fontId="2" fillId="2" borderId="0" xfId="0" applyFont="1" applyFill="1"/>
    <xf numFmtId="0" fontId="2" fillId="3" borderId="0" xfId="0" applyFont="1" applyFill="1"/>
    <xf numFmtId="0" fontId="15" fillId="2" borderId="0" xfId="0" applyFont="1" applyFill="1" applyAlignment="1">
      <alignment horizontal="left"/>
    </xf>
    <xf numFmtId="0" fontId="24" fillId="0" borderId="0" xfId="0" applyFont="1"/>
    <xf numFmtId="0" fontId="11" fillId="2" borderId="0" xfId="0" applyFont="1" applyFill="1"/>
    <xf numFmtId="0" fontId="11" fillId="2" borderId="9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left"/>
    </xf>
    <xf numFmtId="165" fontId="6" fillId="0" borderId="0" xfId="1" applyFont="1" applyFill="1" applyBorder="1" applyAlignment="1"/>
    <xf numFmtId="165" fontId="6" fillId="0" borderId="0" xfId="1" applyFont="1" applyFill="1" applyBorder="1" applyAlignment="1">
      <alignment horizontal="right"/>
    </xf>
    <xf numFmtId="165" fontId="13" fillId="0" borderId="0" xfId="1" applyFont="1" applyFill="1" applyBorder="1" applyAlignment="1">
      <alignment horizontal="right"/>
    </xf>
    <xf numFmtId="165" fontId="11" fillId="0" borderId="0" xfId="1" applyFont="1" applyFill="1" applyBorder="1" applyAlignment="1">
      <alignment horizontal="right"/>
    </xf>
    <xf numFmtId="165" fontId="10" fillId="0" borderId="0" xfId="1" applyFont="1" applyFill="1" applyBorder="1" applyAlignment="1">
      <alignment horizontal="right"/>
    </xf>
    <xf numFmtId="165" fontId="8" fillId="0" borderId="0" xfId="1" applyFont="1" applyFill="1" applyBorder="1"/>
    <xf numFmtId="165" fontId="18" fillId="0" borderId="0" xfId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right"/>
    </xf>
    <xf numFmtId="0" fontId="7" fillId="0" borderId="0" xfId="0" applyFont="1"/>
    <xf numFmtId="0" fontId="10" fillId="0" borderId="15" xfId="0" applyFont="1" applyBorder="1" applyAlignment="1">
      <alignment horizontal="left"/>
    </xf>
    <xf numFmtId="164" fontId="10" fillId="0" borderId="0" xfId="0" applyNumberFormat="1" applyFont="1"/>
    <xf numFmtId="0" fontId="26" fillId="0" borderId="0" xfId="0" applyFont="1" applyAlignment="1">
      <alignment horizontal="left" vertical="center"/>
    </xf>
    <xf numFmtId="3" fontId="26" fillId="0" borderId="5" xfId="0" applyNumberFormat="1" applyFont="1" applyBorder="1" applyAlignment="1">
      <alignment horizontal="right" wrapText="1"/>
    </xf>
    <xf numFmtId="0" fontId="27" fillId="0" borderId="0" xfId="0" applyFont="1" applyAlignment="1">
      <alignment horizontal="left" vertical="center"/>
    </xf>
    <xf numFmtId="3" fontId="27" fillId="0" borderId="5" xfId="0" applyNumberFormat="1" applyFont="1" applyBorder="1" applyAlignment="1">
      <alignment horizontal="right"/>
    </xf>
    <xf numFmtId="0" fontId="28" fillId="0" borderId="4" xfId="0" applyFont="1" applyBorder="1"/>
    <xf numFmtId="165" fontId="28" fillId="0" borderId="0" xfId="1" applyFont="1" applyFill="1" applyBorder="1"/>
    <xf numFmtId="0" fontId="28" fillId="0" borderId="5" xfId="0" applyFont="1" applyBorder="1"/>
    <xf numFmtId="0" fontId="28" fillId="0" borderId="0" xfId="0" applyFont="1"/>
    <xf numFmtId="0" fontId="26" fillId="0" borderId="4" xfId="0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7" fillId="0" borderId="4" xfId="0" applyFont="1" applyBorder="1" applyAlignment="1">
      <alignment horizontal="right" vertical="center"/>
    </xf>
    <xf numFmtId="3" fontId="27" fillId="0" borderId="5" xfId="0" applyNumberFormat="1" applyFont="1" applyBorder="1" applyAlignment="1">
      <alignment horizontal="right" wrapText="1"/>
    </xf>
    <xf numFmtId="0" fontId="30" fillId="0" borderId="4" xfId="0" applyFont="1" applyBorder="1"/>
    <xf numFmtId="0" fontId="30" fillId="0" borderId="0" xfId="0" applyFont="1"/>
    <xf numFmtId="3" fontId="26" fillId="0" borderId="5" xfId="0" applyNumberFormat="1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0" fontId="26" fillId="0" borderId="0" xfId="0" applyFont="1" applyAlignment="1">
      <alignment horizontal="left"/>
    </xf>
    <xf numFmtId="0" fontId="27" fillId="0" borderId="4" xfId="0" applyFont="1" applyBorder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/>
    <xf numFmtId="0" fontId="29" fillId="0" borderId="4" xfId="0" applyFont="1" applyBorder="1" applyAlignment="1">
      <alignment horizontal="right"/>
    </xf>
    <xf numFmtId="0" fontId="29" fillId="0" borderId="0" xfId="0" applyFont="1" applyAlignment="1">
      <alignment horizontal="left"/>
    </xf>
    <xf numFmtId="168" fontId="30" fillId="0" borderId="5" xfId="1" applyNumberFormat="1" applyFont="1" applyFill="1" applyBorder="1" applyAlignment="1">
      <alignment horizontal="right"/>
    </xf>
    <xf numFmtId="168" fontId="27" fillId="0" borderId="5" xfId="1" applyNumberFormat="1" applyFont="1" applyFill="1" applyBorder="1" applyAlignment="1">
      <alignment horizontal="right" wrapText="1"/>
    </xf>
    <xf numFmtId="168" fontId="26" fillId="0" borderId="5" xfId="1" applyNumberFormat="1" applyFont="1" applyFill="1" applyBorder="1" applyAlignment="1">
      <alignment horizontal="right" wrapText="1"/>
    </xf>
    <xf numFmtId="3" fontId="30" fillId="3" borderId="3" xfId="0" applyNumberFormat="1" applyFont="1" applyFill="1" applyBorder="1"/>
    <xf numFmtId="3" fontId="26" fillId="2" borderId="5" xfId="0" applyNumberFormat="1" applyFont="1" applyFill="1" applyBorder="1" applyAlignment="1">
      <alignment horizontal="right" wrapText="1"/>
    </xf>
    <xf numFmtId="3" fontId="30" fillId="2" borderId="5" xfId="0" applyNumberFormat="1" applyFont="1" applyFill="1" applyBorder="1"/>
    <xf numFmtId="168" fontId="27" fillId="0" borderId="5" xfId="1" applyNumberFormat="1" applyFont="1" applyFill="1" applyBorder="1" applyAlignment="1">
      <alignment horizontal="right"/>
    </xf>
    <xf numFmtId="3" fontId="31" fillId="3" borderId="8" xfId="0" applyNumberFormat="1" applyFont="1" applyFill="1" applyBorder="1"/>
    <xf numFmtId="0" fontId="19" fillId="0" borderId="0" xfId="0" applyFont="1"/>
    <xf numFmtId="0" fontId="31" fillId="3" borderId="7" xfId="0" applyFont="1" applyFill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8" fillId="2" borderId="19" xfId="0" applyFont="1" applyFill="1" applyBorder="1" applyAlignment="1">
      <alignment horizontal="center"/>
    </xf>
    <xf numFmtId="164" fontId="10" fillId="0" borderId="10" xfId="1" applyNumberFormat="1" applyFont="1" applyFill="1" applyBorder="1" applyAlignment="1">
      <alignment vertical="center"/>
    </xf>
    <xf numFmtId="164" fontId="11" fillId="0" borderId="10" xfId="1" applyNumberFormat="1" applyFont="1" applyFill="1" applyBorder="1" applyAlignment="1">
      <alignment vertical="center" wrapText="1"/>
    </xf>
    <xf numFmtId="164" fontId="11" fillId="0" borderId="10" xfId="0" applyNumberFormat="1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/>
    </xf>
    <xf numFmtId="164" fontId="10" fillId="0" borderId="10" xfId="1" applyNumberFormat="1" applyFont="1" applyFill="1" applyBorder="1" applyAlignment="1">
      <alignment vertical="center" wrapText="1"/>
    </xf>
    <xf numFmtId="164" fontId="11" fillId="0" borderId="10" xfId="1" applyNumberFormat="1" applyFont="1" applyFill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164" fontId="11" fillId="2" borderId="10" xfId="1" applyNumberFormat="1" applyFont="1" applyFill="1" applyBorder="1" applyAlignment="1">
      <alignment vertical="center" wrapText="1"/>
    </xf>
    <xf numFmtId="164" fontId="11" fillId="2" borderId="10" xfId="1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/>
    </xf>
    <xf numFmtId="0" fontId="13" fillId="0" borderId="9" xfId="0" applyFont="1" applyBorder="1"/>
    <xf numFmtId="3" fontId="26" fillId="0" borderId="11" xfId="0" applyNumberFormat="1" applyFont="1" applyBorder="1" applyAlignment="1">
      <alignment horizontal="right" wrapText="1"/>
    </xf>
    <xf numFmtId="0" fontId="28" fillId="3" borderId="6" xfId="0" applyFont="1" applyFill="1" applyBorder="1"/>
    <xf numFmtId="0" fontId="7" fillId="0" borderId="4" xfId="0" applyFont="1" applyBorder="1"/>
    <xf numFmtId="166" fontId="5" fillId="0" borderId="5" xfId="1" applyNumberFormat="1" applyFont="1" applyFill="1" applyBorder="1" applyAlignment="1">
      <alignment horizontal="right"/>
    </xf>
    <xf numFmtId="166" fontId="18" fillId="0" borderId="5" xfId="1" applyNumberFormat="1" applyFont="1" applyFill="1" applyBorder="1" applyAlignment="1">
      <alignment horizontal="right"/>
    </xf>
    <xf numFmtId="0" fontId="8" fillId="0" borderId="4" xfId="0" applyFont="1" applyBorder="1"/>
    <xf numFmtId="0" fontId="25" fillId="0" borderId="7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8" fillId="0" borderId="5" xfId="0" applyFont="1" applyBorder="1"/>
    <xf numFmtId="0" fontId="15" fillId="3" borderId="24" xfId="0" applyFont="1" applyFill="1" applyBorder="1" applyAlignment="1">
      <alignment horizontal="right"/>
    </xf>
    <xf numFmtId="0" fontId="15" fillId="3" borderId="25" xfId="0" applyFont="1" applyFill="1" applyBorder="1"/>
    <xf numFmtId="166" fontId="9" fillId="3" borderId="20" xfId="0" applyNumberFormat="1" applyFont="1" applyFill="1" applyBorder="1"/>
    <xf numFmtId="0" fontId="8" fillId="0" borderId="26" xfId="0" applyFont="1" applyBorder="1" applyAlignment="1">
      <alignment horizontal="center"/>
    </xf>
    <xf numFmtId="0" fontId="12" fillId="0" borderId="26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166" fontId="5" fillId="0" borderId="27" xfId="1" applyNumberFormat="1" applyFont="1" applyFill="1" applyBorder="1" applyAlignment="1">
      <alignment horizontal="right"/>
    </xf>
    <xf numFmtId="166" fontId="11" fillId="0" borderId="27" xfId="1" applyNumberFormat="1" applyFont="1" applyFill="1" applyBorder="1" applyAlignment="1">
      <alignment horizontal="right"/>
    </xf>
    <xf numFmtId="166" fontId="10" fillId="0" borderId="27" xfId="1" applyNumberFormat="1" applyFont="1" applyFill="1" applyBorder="1" applyAlignment="1">
      <alignment horizontal="right"/>
    </xf>
    <xf numFmtId="0" fontId="15" fillId="2" borderId="26" xfId="0" applyFont="1" applyFill="1" applyBorder="1" applyAlignment="1">
      <alignment horizontal="right"/>
    </xf>
    <xf numFmtId="3" fontId="9" fillId="2" borderId="27" xfId="0" applyNumberFormat="1" applyFont="1" applyFill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3" fontId="13" fillId="0" borderId="27" xfId="0" applyNumberFormat="1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3" fontId="11" fillId="0" borderId="27" xfId="0" applyNumberFormat="1" applyFont="1" applyBorder="1" applyAlignment="1">
      <alignment horizontal="right"/>
    </xf>
    <xf numFmtId="0" fontId="2" fillId="0" borderId="26" xfId="0" applyFont="1" applyBorder="1"/>
    <xf numFmtId="3" fontId="10" fillId="0" borderId="27" xfId="0" applyNumberFormat="1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0" fontId="10" fillId="0" borderId="26" xfId="0" applyFont="1" applyBorder="1"/>
    <xf numFmtId="3" fontId="3" fillId="3" borderId="30" xfId="0" applyNumberFormat="1" applyFont="1" applyFill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>
      <alignment horizontal="left"/>
    </xf>
    <xf numFmtId="164" fontId="11" fillId="0" borderId="15" xfId="1" applyNumberFormat="1" applyFont="1" applyFill="1" applyBorder="1" applyAlignment="1">
      <alignment vertical="center" wrapText="1"/>
    </xf>
    <xf numFmtId="164" fontId="11" fillId="0" borderId="15" xfId="0" applyNumberFormat="1" applyFont="1" applyBorder="1" applyAlignment="1">
      <alignment vertical="center"/>
    </xf>
    <xf numFmtId="0" fontId="11" fillId="0" borderId="31" xfId="0" applyFont="1" applyBorder="1" applyAlignment="1">
      <alignment horizontal="right"/>
    </xf>
    <xf numFmtId="0" fontId="11" fillId="0" borderId="32" xfId="0" applyFont="1" applyBorder="1" applyAlignment="1">
      <alignment horizontal="left"/>
    </xf>
    <xf numFmtId="164" fontId="11" fillId="0" borderId="32" xfId="1" applyNumberFormat="1" applyFont="1" applyFill="1" applyBorder="1" applyAlignment="1">
      <alignment vertical="center" wrapText="1"/>
    </xf>
    <xf numFmtId="0" fontId="11" fillId="0" borderId="26" xfId="0" applyFont="1" applyBorder="1"/>
    <xf numFmtId="164" fontId="16" fillId="0" borderId="10" xfId="0" applyNumberFormat="1" applyFont="1" applyBorder="1" applyAlignment="1">
      <alignment vertical="center" wrapText="1"/>
    </xf>
    <xf numFmtId="3" fontId="2" fillId="0" borderId="0" xfId="0" applyNumberFormat="1" applyFont="1"/>
    <xf numFmtId="164" fontId="11" fillId="5" borderId="10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/>
    </xf>
    <xf numFmtId="164" fontId="11" fillId="3" borderId="10" xfId="0" applyNumberFormat="1" applyFont="1" applyFill="1" applyBorder="1"/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0" borderId="6" xfId="0" applyFont="1" applyBorder="1"/>
    <xf numFmtId="169" fontId="10" fillId="0" borderId="0" xfId="1" applyNumberFormat="1" applyFont="1" applyFill="1" applyBorder="1" applyAlignment="1"/>
    <xf numFmtId="167" fontId="10" fillId="0" borderId="0" xfId="1" applyNumberFormat="1" applyFont="1" applyFill="1" applyBorder="1" applyAlignment="1">
      <alignment horizontal="right"/>
    </xf>
    <xf numFmtId="169" fontId="10" fillId="0" borderId="0" xfId="1" applyNumberFormat="1" applyFont="1" applyBorder="1" applyAlignment="1"/>
    <xf numFmtId="0" fontId="36" fillId="0" borderId="0" xfId="0" applyFont="1"/>
    <xf numFmtId="3" fontId="2" fillId="0" borderId="5" xfId="0" applyNumberFormat="1" applyFont="1" applyBorder="1"/>
    <xf numFmtId="0" fontId="25" fillId="0" borderId="0" xfId="0" applyFont="1" applyAlignment="1">
      <alignment horizontal="center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2" fillId="0" borderId="34" xfId="0" applyFont="1" applyBorder="1"/>
    <xf numFmtId="0" fontId="27" fillId="0" borderId="35" xfId="0" applyFont="1" applyBorder="1" applyAlignment="1">
      <alignment horizontal="right" vertical="center"/>
    </xf>
    <xf numFmtId="0" fontId="27" fillId="0" borderId="29" xfId="0" applyFont="1" applyBorder="1" applyAlignment="1">
      <alignment horizontal="left" vertical="center"/>
    </xf>
    <xf numFmtId="3" fontId="27" fillId="0" borderId="36" xfId="0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left" vertical="center" wrapText="1"/>
    </xf>
    <xf numFmtId="3" fontId="30" fillId="0" borderId="5" xfId="0" applyNumberFormat="1" applyFont="1" applyBorder="1"/>
    <xf numFmtId="3" fontId="28" fillId="0" borderId="5" xfId="0" applyNumberFormat="1" applyFont="1" applyBorder="1"/>
    <xf numFmtId="3" fontId="26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0" fontId="25" fillId="0" borderId="1" xfId="0" applyFont="1" applyBorder="1" applyAlignment="1">
      <alignment horizontal="center"/>
    </xf>
    <xf numFmtId="0" fontId="2" fillId="0" borderId="3" xfId="0" applyFont="1" applyBorder="1"/>
    <xf numFmtId="0" fontId="43" fillId="0" borderId="0" xfId="0" applyFont="1"/>
    <xf numFmtId="0" fontId="44" fillId="0" borderId="5" xfId="0" applyFont="1" applyBorder="1" applyAlignment="1">
      <alignment vertical="center"/>
    </xf>
    <xf numFmtId="3" fontId="44" fillId="0" borderId="5" xfId="0" applyNumberFormat="1" applyFont="1" applyBorder="1" applyAlignment="1">
      <alignment horizontal="right" vertical="center"/>
    </xf>
    <xf numFmtId="3" fontId="44" fillId="0" borderId="8" xfId="0" applyNumberFormat="1" applyFont="1" applyBorder="1" applyAlignment="1">
      <alignment horizontal="right" vertical="center"/>
    </xf>
    <xf numFmtId="3" fontId="45" fillId="0" borderId="11" xfId="0" applyNumberFormat="1" applyFont="1" applyBorder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3" fontId="45" fillId="0" borderId="5" xfId="0" applyNumberFormat="1" applyFont="1" applyBorder="1" applyAlignment="1">
      <alignment horizontal="right" vertical="center"/>
    </xf>
    <xf numFmtId="164" fontId="34" fillId="0" borderId="29" xfId="1" applyNumberFormat="1" applyFont="1" applyFill="1" applyBorder="1" applyAlignment="1">
      <alignment vertical="center"/>
    </xf>
    <xf numFmtId="3" fontId="44" fillId="0" borderId="29" xfId="0" applyNumberFormat="1" applyFont="1" applyBorder="1" applyAlignment="1">
      <alignment horizontal="right" vertical="center"/>
    </xf>
    <xf numFmtId="3" fontId="44" fillId="0" borderId="0" xfId="0" applyNumberFormat="1" applyFont="1" applyAlignment="1">
      <alignment horizontal="right" vertical="center"/>
    </xf>
    <xf numFmtId="3" fontId="44" fillId="0" borderId="7" xfId="0" applyNumberFormat="1" applyFont="1" applyBorder="1" applyAlignment="1">
      <alignment horizontal="right" vertical="center"/>
    </xf>
    <xf numFmtId="0" fontId="44" fillId="0" borderId="8" xfId="0" applyFont="1" applyBorder="1" applyAlignment="1">
      <alignment vertical="center"/>
    </xf>
    <xf numFmtId="0" fontId="47" fillId="0" borderId="0" xfId="0" applyFont="1" applyAlignment="1">
      <alignment horizontal="center"/>
    </xf>
    <xf numFmtId="0" fontId="11" fillId="0" borderId="33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164" fontId="10" fillId="0" borderId="10" xfId="0" applyNumberFormat="1" applyFont="1" applyBorder="1"/>
    <xf numFmtId="3" fontId="11" fillId="3" borderId="10" xfId="0" applyNumberFormat="1" applyFont="1" applyFill="1" applyBorder="1" applyAlignment="1">
      <alignment horizontal="right" vertical="center"/>
    </xf>
    <xf numFmtId="3" fontId="11" fillId="3" borderId="16" xfId="0" applyNumberFormat="1" applyFont="1" applyFill="1" applyBorder="1" applyAlignment="1">
      <alignment horizontal="right" vertical="center"/>
    </xf>
    <xf numFmtId="166" fontId="6" fillId="2" borderId="27" xfId="1" applyNumberFormat="1" applyFont="1" applyFill="1" applyBorder="1"/>
    <xf numFmtId="0" fontId="5" fillId="0" borderId="27" xfId="0" applyFont="1" applyBorder="1"/>
    <xf numFmtId="166" fontId="5" fillId="0" borderId="27" xfId="1" applyNumberFormat="1" applyFont="1" applyFill="1" applyBorder="1"/>
    <xf numFmtId="3" fontId="6" fillId="4" borderId="27" xfId="0" applyNumberFormat="1" applyFont="1" applyFill="1" applyBorder="1"/>
    <xf numFmtId="164" fontId="10" fillId="0" borderId="19" xfId="0" applyNumberFormat="1" applyFont="1" applyBorder="1" applyAlignment="1">
      <alignment vertical="center" wrapText="1"/>
    </xf>
    <xf numFmtId="164" fontId="10" fillId="0" borderId="19" xfId="1" applyNumberFormat="1" applyFont="1" applyFill="1" applyBorder="1" applyAlignment="1">
      <alignment vertical="center"/>
    </xf>
    <xf numFmtId="164" fontId="10" fillId="0" borderId="37" xfId="0" applyNumberFormat="1" applyFont="1" applyBorder="1"/>
    <xf numFmtId="0" fontId="2" fillId="0" borderId="1" xfId="0" applyFont="1" applyBorder="1"/>
    <xf numFmtId="0" fontId="6" fillId="0" borderId="3" xfId="0" applyFont="1" applyBorder="1"/>
    <xf numFmtId="0" fontId="43" fillId="0" borderId="0" xfId="0" applyFont="1" applyAlignment="1">
      <alignment horizontal="center" wrapText="1"/>
    </xf>
    <xf numFmtId="0" fontId="44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18" fillId="2" borderId="16" xfId="0" applyFont="1" applyFill="1" applyBorder="1" applyAlignment="1">
      <alignment horizontal="center"/>
    </xf>
    <xf numFmtId="164" fontId="11" fillId="0" borderId="16" xfId="0" applyNumberFormat="1" applyFont="1" applyBorder="1" applyAlignment="1">
      <alignment vertical="center" wrapText="1"/>
    </xf>
    <xf numFmtId="164" fontId="11" fillId="0" borderId="16" xfId="1" applyNumberFormat="1" applyFont="1" applyFill="1" applyBorder="1" applyAlignment="1">
      <alignment vertical="center" wrapText="1"/>
    </xf>
    <xf numFmtId="164" fontId="10" fillId="0" borderId="16" xfId="1" applyNumberFormat="1" applyFont="1" applyFill="1" applyBorder="1" applyAlignment="1">
      <alignment vertical="center"/>
    </xf>
    <xf numFmtId="164" fontId="10" fillId="0" borderId="16" xfId="0" applyNumberFormat="1" applyFont="1" applyBorder="1" applyAlignment="1">
      <alignment vertical="center" wrapText="1"/>
    </xf>
    <xf numFmtId="164" fontId="10" fillId="0" borderId="16" xfId="0" applyNumberFormat="1" applyFont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11" fillId="2" borderId="16" xfId="1" applyNumberFormat="1" applyFont="1" applyFill="1" applyBorder="1" applyAlignment="1">
      <alignment vertical="center" wrapText="1"/>
    </xf>
    <xf numFmtId="164" fontId="11" fillId="0" borderId="16" xfId="1" applyNumberFormat="1" applyFont="1" applyFill="1" applyBorder="1" applyAlignment="1">
      <alignment vertical="center"/>
    </xf>
    <xf numFmtId="164" fontId="11" fillId="2" borderId="16" xfId="0" applyNumberFormat="1" applyFont="1" applyFill="1" applyBorder="1" applyAlignment="1">
      <alignment vertical="center"/>
    </xf>
    <xf numFmtId="164" fontId="10" fillId="0" borderId="16" xfId="1" applyNumberFormat="1" applyFont="1" applyFill="1" applyBorder="1" applyAlignment="1">
      <alignment vertical="center" wrapText="1"/>
    </xf>
    <xf numFmtId="164" fontId="11" fillId="0" borderId="21" xfId="0" applyNumberFormat="1" applyFont="1" applyBorder="1" applyAlignment="1">
      <alignment vertical="center"/>
    </xf>
    <xf numFmtId="164" fontId="11" fillId="0" borderId="42" xfId="0" applyNumberFormat="1" applyFont="1" applyBorder="1" applyAlignment="1">
      <alignment vertical="center"/>
    </xf>
    <xf numFmtId="3" fontId="10" fillId="0" borderId="5" xfId="0" applyNumberFormat="1" applyFont="1" applyBorder="1"/>
    <xf numFmtId="0" fontId="10" fillId="0" borderId="5" xfId="0" applyFont="1" applyBorder="1"/>
    <xf numFmtId="0" fontId="10" fillId="0" borderId="8" xfId="0" applyFont="1" applyBorder="1"/>
    <xf numFmtId="164" fontId="41" fillId="0" borderId="16" xfId="0" applyNumberFormat="1" applyFont="1" applyBorder="1" applyAlignment="1">
      <alignment vertical="center"/>
    </xf>
    <xf numFmtId="164" fontId="11" fillId="0" borderId="0" xfId="0" applyNumberFormat="1" applyFont="1"/>
    <xf numFmtId="0" fontId="20" fillId="0" borderId="0" xfId="0" applyFont="1" applyAlignment="1">
      <alignment horizontal="right"/>
    </xf>
    <xf numFmtId="164" fontId="11" fillId="3" borderId="10" xfId="1" applyNumberFormat="1" applyFont="1" applyFill="1" applyBorder="1" applyAlignment="1">
      <alignment vertical="center"/>
    </xf>
    <xf numFmtId="164" fontId="11" fillId="3" borderId="10" xfId="0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vertical="center" wrapText="1"/>
    </xf>
    <xf numFmtId="4" fontId="48" fillId="0" borderId="2" xfId="0" applyNumberFormat="1" applyFont="1" applyBorder="1" applyAlignment="1">
      <alignment horizontal="right"/>
    </xf>
    <xf numFmtId="4" fontId="22" fillId="3" borderId="25" xfId="0" applyNumberFormat="1" applyFont="1" applyFill="1" applyBorder="1" applyAlignment="1">
      <alignment horizontal="right"/>
    </xf>
    <xf numFmtId="4" fontId="22" fillId="2" borderId="26" xfId="1" applyNumberFormat="1" applyFont="1" applyFill="1" applyBorder="1" applyAlignment="1">
      <alignment horizontal="right"/>
    </xf>
    <xf numFmtId="4" fontId="43" fillId="0" borderId="26" xfId="0" applyNumberFormat="1" applyFont="1" applyBorder="1" applyAlignment="1">
      <alignment horizontal="right"/>
    </xf>
    <xf numFmtId="4" fontId="22" fillId="0" borderId="26" xfId="1" applyNumberFormat="1" applyFont="1" applyFill="1" applyBorder="1" applyAlignment="1">
      <alignment horizontal="right"/>
    </xf>
    <xf numFmtId="4" fontId="34" fillId="0" borderId="26" xfId="0" applyNumberFormat="1" applyFont="1" applyBorder="1" applyAlignment="1">
      <alignment horizontal="right"/>
    </xf>
    <xf numFmtId="4" fontId="35" fillId="0" borderId="26" xfId="1" applyNumberFormat="1" applyFont="1" applyFill="1" applyBorder="1" applyAlignment="1">
      <alignment horizontal="right"/>
    </xf>
    <xf numFmtId="4" fontId="22" fillId="2" borderId="26" xfId="0" applyNumberFormat="1" applyFont="1" applyFill="1" applyBorder="1" applyAlignment="1">
      <alignment horizontal="right"/>
    </xf>
    <xf numFmtId="4" fontId="50" fillId="0" borderId="26" xfId="0" applyNumberFormat="1" applyFont="1" applyBorder="1" applyAlignment="1">
      <alignment horizontal="right"/>
    </xf>
    <xf numFmtId="4" fontId="22" fillId="0" borderId="26" xfId="0" applyNumberFormat="1" applyFont="1" applyBorder="1" applyAlignment="1">
      <alignment horizontal="right"/>
    </xf>
    <xf numFmtId="4" fontId="46" fillId="0" borderId="26" xfId="0" applyNumberFormat="1" applyFont="1" applyBorder="1" applyAlignment="1">
      <alignment horizontal="right"/>
    </xf>
    <xf numFmtId="4" fontId="22" fillId="4" borderId="26" xfId="0" applyNumberFormat="1" applyFont="1" applyFill="1" applyBorder="1"/>
    <xf numFmtId="4" fontId="34" fillId="0" borderId="26" xfId="0" applyNumberFormat="1" applyFont="1" applyBorder="1"/>
    <xf numFmtId="0" fontId="2" fillId="0" borderId="2" xfId="0" applyFont="1" applyBorder="1"/>
    <xf numFmtId="4" fontId="43" fillId="0" borderId="2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6" fillId="0" borderId="27" xfId="0" applyFont="1" applyBorder="1"/>
    <xf numFmtId="0" fontId="51" fillId="0" borderId="26" xfId="0" applyFont="1" applyBorder="1" applyAlignment="1">
      <alignment horizontal="right"/>
    </xf>
    <xf numFmtId="0" fontId="5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43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center"/>
    </xf>
    <xf numFmtId="4" fontId="6" fillId="0" borderId="0" xfId="0" applyNumberFormat="1" applyFont="1"/>
    <xf numFmtId="4" fontId="2" fillId="0" borderId="0" xfId="0" applyNumberFormat="1" applyFont="1"/>
    <xf numFmtId="4" fontId="28" fillId="0" borderId="0" xfId="0" applyNumberFormat="1" applyFont="1"/>
    <xf numFmtId="4" fontId="19" fillId="0" borderId="0" xfId="0" applyNumberFormat="1" applyFont="1"/>
    <xf numFmtId="4" fontId="24" fillId="0" borderId="0" xfId="0" applyNumberFormat="1" applyFont="1"/>
    <xf numFmtId="0" fontId="52" fillId="3" borderId="2" xfId="0" applyFont="1" applyFill="1" applyBorder="1" applyAlignment="1">
      <alignment horizontal="center"/>
    </xf>
    <xf numFmtId="4" fontId="53" fillId="3" borderId="3" xfId="0" applyNumberFormat="1" applyFont="1" applyFill="1" applyBorder="1"/>
    <xf numFmtId="0" fontId="52" fillId="3" borderId="0" xfId="0" applyFont="1" applyFill="1" applyAlignment="1">
      <alignment horizontal="center"/>
    </xf>
    <xf numFmtId="4" fontId="53" fillId="3" borderId="5" xfId="0" applyNumberFormat="1" applyFont="1" applyFill="1" applyBorder="1"/>
    <xf numFmtId="0" fontId="52" fillId="3" borderId="7" xfId="0" applyFont="1" applyFill="1" applyBorder="1" applyAlignment="1">
      <alignment horizontal="center"/>
    </xf>
    <xf numFmtId="4" fontId="53" fillId="3" borderId="8" xfId="0" applyNumberFormat="1" applyFont="1" applyFill="1" applyBorder="1"/>
    <xf numFmtId="0" fontId="54" fillId="0" borderId="23" xfId="0" applyFont="1" applyBorder="1" applyAlignment="1">
      <alignment horizontal="center"/>
    </xf>
    <xf numFmtId="4" fontId="53" fillId="0" borderId="40" xfId="0" applyNumberFormat="1" applyFont="1" applyBorder="1"/>
    <xf numFmtId="0" fontId="54" fillId="0" borderId="1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55" fillId="0" borderId="43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5" fillId="0" borderId="44" xfId="0" applyFont="1" applyBorder="1" applyAlignment="1">
      <alignment horizontal="center"/>
    </xf>
    <xf numFmtId="4" fontId="55" fillId="0" borderId="44" xfId="0" applyNumberFormat="1" applyFont="1" applyBorder="1" applyAlignment="1">
      <alignment horizontal="center"/>
    </xf>
    <xf numFmtId="3" fontId="56" fillId="3" borderId="45" xfId="0" applyNumberFormat="1" applyFont="1" applyFill="1" applyBorder="1" applyAlignment="1">
      <alignment horizontal="right"/>
    </xf>
    <xf numFmtId="3" fontId="56" fillId="3" borderId="5" xfId="0" applyNumberFormat="1" applyFont="1" applyFill="1" applyBorder="1"/>
    <xf numFmtId="3" fontId="56" fillId="3" borderId="1" xfId="0" applyNumberFormat="1" applyFont="1" applyFill="1" applyBorder="1" applyAlignment="1">
      <alignment horizontal="right"/>
    </xf>
    <xf numFmtId="4" fontId="56" fillId="3" borderId="42" xfId="0" applyNumberFormat="1" applyFont="1" applyFill="1" applyBorder="1"/>
    <xf numFmtId="3" fontId="56" fillId="3" borderId="45" xfId="0" applyNumberFormat="1" applyFont="1" applyFill="1" applyBorder="1"/>
    <xf numFmtId="3" fontId="56" fillId="3" borderId="3" xfId="0" applyNumberFormat="1" applyFont="1" applyFill="1" applyBorder="1"/>
    <xf numFmtId="3" fontId="56" fillId="3" borderId="2" xfId="0" applyNumberFormat="1" applyFont="1" applyFill="1" applyBorder="1"/>
    <xf numFmtId="3" fontId="56" fillId="3" borderId="46" xfId="0" applyNumberFormat="1" applyFont="1" applyFill="1" applyBorder="1"/>
    <xf numFmtId="3" fontId="57" fillId="2" borderId="47" xfId="0" applyNumberFormat="1" applyFont="1" applyFill="1" applyBorder="1" applyAlignment="1">
      <alignment horizontal="right" wrapText="1"/>
    </xf>
    <xf numFmtId="3" fontId="57" fillId="2" borderId="5" xfId="0" applyNumberFormat="1" applyFont="1" applyFill="1" applyBorder="1" applyAlignment="1">
      <alignment horizontal="right" wrapText="1"/>
    </xf>
    <xf numFmtId="3" fontId="57" fillId="2" borderId="4" xfId="0" applyNumberFormat="1" applyFont="1" applyFill="1" applyBorder="1" applyAlignment="1">
      <alignment horizontal="right" wrapText="1"/>
    </xf>
    <xf numFmtId="4" fontId="57" fillId="2" borderId="42" xfId="0" applyNumberFormat="1" applyFont="1" applyFill="1" applyBorder="1" applyAlignment="1">
      <alignment horizontal="right" wrapText="1"/>
    </xf>
    <xf numFmtId="3" fontId="56" fillId="2" borderId="47" xfId="0" applyNumberFormat="1" applyFont="1" applyFill="1" applyBorder="1"/>
    <xf numFmtId="3" fontId="56" fillId="2" borderId="4" xfId="0" applyNumberFormat="1" applyFont="1" applyFill="1" applyBorder="1"/>
    <xf numFmtId="3" fontId="56" fillId="2" borderId="42" xfId="0" applyNumberFormat="1" applyFont="1" applyFill="1" applyBorder="1"/>
    <xf numFmtId="0" fontId="53" fillId="0" borderId="57" xfId="0" applyFont="1" applyBorder="1"/>
    <xf numFmtId="165" fontId="53" fillId="0" borderId="21" xfId="1" applyFont="1" applyFill="1" applyBorder="1"/>
    <xf numFmtId="3" fontId="53" fillId="0" borderId="56" xfId="1" applyNumberFormat="1" applyFont="1" applyFill="1" applyBorder="1" applyAlignment="1">
      <alignment horizontal="right"/>
    </xf>
    <xf numFmtId="0" fontId="53" fillId="0" borderId="58" xfId="0" applyFont="1" applyBorder="1"/>
    <xf numFmtId="3" fontId="53" fillId="0" borderId="57" xfId="1" applyNumberFormat="1" applyFont="1" applyFill="1" applyBorder="1" applyAlignment="1">
      <alignment horizontal="right"/>
    </xf>
    <xf numFmtId="4" fontId="53" fillId="0" borderId="21" xfId="0" applyNumberFormat="1" applyFont="1" applyBorder="1"/>
    <xf numFmtId="0" fontId="57" fillId="0" borderId="57" xfId="0" applyFont="1" applyBorder="1" applyAlignment="1">
      <alignment horizontal="right" vertical="center"/>
    </xf>
    <xf numFmtId="0" fontId="57" fillId="0" borderId="21" xfId="0" applyFont="1" applyBorder="1" applyAlignment="1">
      <alignment horizontal="left" vertical="center"/>
    </xf>
    <xf numFmtId="3" fontId="57" fillId="0" borderId="56" xfId="0" applyNumberFormat="1" applyFont="1" applyBorder="1" applyAlignment="1">
      <alignment horizontal="right" wrapText="1"/>
    </xf>
    <xf numFmtId="3" fontId="57" fillId="0" borderId="58" xfId="0" applyNumberFormat="1" applyFont="1" applyBorder="1" applyAlignment="1">
      <alignment horizontal="right" wrapText="1"/>
    </xf>
    <xf numFmtId="3" fontId="57" fillId="0" borderId="25" xfId="0" applyNumberFormat="1" applyFont="1" applyBorder="1" applyAlignment="1">
      <alignment horizontal="right" wrapText="1"/>
    </xf>
    <xf numFmtId="3" fontId="57" fillId="0" borderId="21" xfId="0" applyNumberFormat="1" applyFont="1" applyBorder="1" applyAlignment="1">
      <alignment horizontal="right" wrapText="1"/>
    </xf>
    <xf numFmtId="0" fontId="58" fillId="0" borderId="4" xfId="0" applyFont="1" applyBorder="1" applyAlignment="1">
      <alignment horizontal="right" vertical="center"/>
    </xf>
    <xf numFmtId="0" fontId="58" fillId="0" borderId="42" xfId="0" applyFont="1" applyBorder="1" applyAlignment="1">
      <alignment horizontal="left" vertical="center"/>
    </xf>
    <xf numFmtId="3" fontId="57" fillId="0" borderId="48" xfId="0" applyNumberFormat="1" applyFont="1" applyBorder="1" applyAlignment="1">
      <alignment horizontal="right" wrapText="1"/>
    </xf>
    <xf numFmtId="3" fontId="57" fillId="0" borderId="11" xfId="0" applyNumberFormat="1" applyFont="1" applyBorder="1" applyAlignment="1">
      <alignment horizontal="right" wrapText="1"/>
    </xf>
    <xf numFmtId="3" fontId="57" fillId="0" borderId="49" xfId="0" applyNumberFormat="1" applyFont="1" applyBorder="1" applyAlignment="1">
      <alignment horizontal="right" wrapText="1"/>
    </xf>
    <xf numFmtId="4" fontId="57" fillId="0" borderId="50" xfId="0" applyNumberFormat="1" applyFont="1" applyBorder="1" applyAlignment="1">
      <alignment horizontal="right" wrapText="1"/>
    </xf>
    <xf numFmtId="3" fontId="57" fillId="0" borderId="51" xfId="0" applyNumberFormat="1" applyFont="1" applyBorder="1" applyAlignment="1">
      <alignment horizontal="right" wrapText="1"/>
    </xf>
    <xf numFmtId="3" fontId="57" fillId="0" borderId="50" xfId="0" applyNumberFormat="1" applyFont="1" applyBorder="1" applyAlignment="1">
      <alignment horizontal="right" wrapText="1"/>
    </xf>
    <xf numFmtId="0" fontId="57" fillId="0" borderId="4" xfId="0" applyFont="1" applyBorder="1" applyAlignment="1">
      <alignment horizontal="right" vertical="center"/>
    </xf>
    <xf numFmtId="0" fontId="57" fillId="0" borderId="42" xfId="0" applyFont="1" applyBorder="1" applyAlignment="1">
      <alignment horizontal="left" vertical="center"/>
    </xf>
    <xf numFmtId="3" fontId="57" fillId="0" borderId="52" xfId="0" applyNumberFormat="1" applyFont="1" applyBorder="1" applyAlignment="1">
      <alignment horizontal="right" wrapText="1"/>
    </xf>
    <xf numFmtId="3" fontId="57" fillId="0" borderId="5" xfId="0" applyNumberFormat="1" applyFont="1" applyBorder="1" applyAlignment="1">
      <alignment horizontal="right" wrapText="1"/>
    </xf>
    <xf numFmtId="3" fontId="57" fillId="0" borderId="0" xfId="0" applyNumberFormat="1" applyFont="1" applyAlignment="1">
      <alignment horizontal="right" wrapText="1"/>
    </xf>
    <xf numFmtId="3" fontId="57" fillId="0" borderId="42" xfId="0" applyNumberFormat="1" applyFont="1" applyBorder="1" applyAlignment="1">
      <alignment horizontal="right" wrapText="1"/>
    </xf>
    <xf numFmtId="0" fontId="60" fillId="0" borderId="4" xfId="0" applyFont="1" applyBorder="1" applyAlignment="1">
      <alignment horizontal="right" vertical="center"/>
    </xf>
    <xf numFmtId="0" fontId="60" fillId="0" borderId="42" xfId="0" applyFont="1" applyBorder="1" applyAlignment="1">
      <alignment horizontal="left" vertical="center"/>
    </xf>
    <xf numFmtId="3" fontId="60" fillId="0" borderId="47" xfId="0" applyNumberFormat="1" applyFont="1" applyBorder="1" applyAlignment="1">
      <alignment horizontal="right" vertical="center"/>
    </xf>
    <xf numFmtId="3" fontId="60" fillId="0" borderId="5" xfId="0" applyNumberFormat="1" applyFont="1" applyBorder="1" applyAlignment="1">
      <alignment horizontal="right"/>
    </xf>
    <xf numFmtId="3" fontId="60" fillId="0" borderId="0" xfId="0" applyNumberFormat="1" applyFont="1" applyAlignment="1">
      <alignment horizontal="right"/>
    </xf>
    <xf numFmtId="4" fontId="53" fillId="0" borderId="42" xfId="0" applyNumberFormat="1" applyFont="1" applyBorder="1"/>
    <xf numFmtId="3" fontId="60" fillId="0" borderId="47" xfId="0" applyNumberFormat="1" applyFont="1" applyBorder="1" applyAlignment="1">
      <alignment horizontal="right" wrapText="1"/>
    </xf>
    <xf numFmtId="3" fontId="60" fillId="0" borderId="0" xfId="0" applyNumberFormat="1" applyFont="1" applyAlignment="1">
      <alignment horizontal="right" wrapText="1"/>
    </xf>
    <xf numFmtId="3" fontId="57" fillId="0" borderId="47" xfId="0" applyNumberFormat="1" applyFont="1" applyBorder="1" applyAlignment="1">
      <alignment horizontal="right" wrapText="1"/>
    </xf>
    <xf numFmtId="4" fontId="57" fillId="0" borderId="42" xfId="0" applyNumberFormat="1" applyFont="1" applyBorder="1" applyAlignment="1">
      <alignment horizontal="right" wrapText="1"/>
    </xf>
    <xf numFmtId="0" fontId="56" fillId="0" borderId="4" xfId="0" applyFont="1" applyBorder="1"/>
    <xf numFmtId="0" fontId="56" fillId="0" borderId="42" xfId="0" applyFont="1" applyBorder="1"/>
    <xf numFmtId="0" fontId="53" fillId="0" borderId="4" xfId="0" applyFont="1" applyBorder="1"/>
    <xf numFmtId="0" fontId="53" fillId="0" borderId="42" xfId="0" applyFont="1" applyBorder="1"/>
    <xf numFmtId="3" fontId="60" fillId="0" borderId="47" xfId="0" applyNumberFormat="1" applyFont="1" applyBorder="1" applyAlignment="1">
      <alignment horizontal="right"/>
    </xf>
    <xf numFmtId="3" fontId="57" fillId="0" borderId="47" xfId="0" applyNumberFormat="1" applyFont="1" applyBorder="1" applyAlignment="1">
      <alignment horizontal="right"/>
    </xf>
    <xf numFmtId="3" fontId="57" fillId="0" borderId="5" xfId="0" applyNumberFormat="1" applyFont="1" applyBorder="1" applyAlignment="1">
      <alignment horizontal="right"/>
    </xf>
    <xf numFmtId="3" fontId="57" fillId="0" borderId="42" xfId="0" applyNumberFormat="1" applyFont="1" applyBorder="1" applyAlignment="1">
      <alignment horizontal="right"/>
    </xf>
    <xf numFmtId="0" fontId="60" fillId="0" borderId="4" xfId="0" applyFont="1" applyBorder="1" applyAlignment="1">
      <alignment horizontal="right"/>
    </xf>
    <xf numFmtId="0" fontId="60" fillId="0" borderId="42" xfId="0" applyFont="1" applyBorder="1" applyAlignment="1">
      <alignment horizontal="left"/>
    </xf>
    <xf numFmtId="0" fontId="57" fillId="0" borderId="4" xfId="0" applyFont="1" applyBorder="1" applyAlignment="1">
      <alignment horizontal="right"/>
    </xf>
    <xf numFmtId="0" fontId="57" fillId="0" borderId="42" xfId="0" applyFont="1" applyBorder="1" applyAlignment="1">
      <alignment horizontal="left"/>
    </xf>
    <xf numFmtId="3" fontId="57" fillId="0" borderId="0" xfId="0" applyNumberFormat="1" applyFont="1" applyAlignment="1">
      <alignment horizontal="right"/>
    </xf>
    <xf numFmtId="4" fontId="57" fillId="0" borderId="42" xfId="0" applyNumberFormat="1" applyFont="1" applyBorder="1" applyAlignment="1">
      <alignment horizontal="right"/>
    </xf>
    <xf numFmtId="0" fontId="60" fillId="0" borderId="42" xfId="0" applyFont="1" applyBorder="1"/>
    <xf numFmtId="3" fontId="56" fillId="0" borderId="47" xfId="0" applyNumberFormat="1" applyFont="1" applyBorder="1"/>
    <xf numFmtId="3" fontId="56" fillId="0" borderId="5" xfId="0" applyNumberFormat="1" applyFont="1" applyBorder="1"/>
    <xf numFmtId="3" fontId="56" fillId="0" borderId="0" xfId="0" applyNumberFormat="1" applyFont="1"/>
    <xf numFmtId="4" fontId="56" fillId="0" borderId="42" xfId="0" applyNumberFormat="1" applyFont="1" applyBorder="1"/>
    <xf numFmtId="3" fontId="53" fillId="0" borderId="47" xfId="0" applyNumberFormat="1" applyFont="1" applyBorder="1"/>
    <xf numFmtId="3" fontId="53" fillId="0" borderId="47" xfId="0" applyNumberFormat="1" applyFont="1" applyBorder="1" applyAlignment="1">
      <alignment horizontal="right"/>
    </xf>
    <xf numFmtId="4" fontId="57" fillId="0" borderId="55" xfId="0" applyNumberFormat="1" applyFont="1" applyBorder="1" applyAlignment="1">
      <alignment horizontal="right"/>
    </xf>
    <xf numFmtId="0" fontId="56" fillId="0" borderId="47" xfId="0" applyFont="1" applyBorder="1"/>
    <xf numFmtId="0" fontId="61" fillId="0" borderId="42" xfId="0" applyFont="1" applyBorder="1" applyAlignment="1">
      <alignment horizontal="left"/>
    </xf>
    <xf numFmtId="3" fontId="53" fillId="0" borderId="53" xfId="0" applyNumberFormat="1" applyFont="1" applyBorder="1"/>
    <xf numFmtId="0" fontId="53" fillId="3" borderId="6" xfId="0" applyFont="1" applyFill="1" applyBorder="1"/>
    <xf numFmtId="0" fontId="56" fillId="3" borderId="54" xfId="0" applyFont="1" applyFill="1" applyBorder="1" applyAlignment="1">
      <alignment horizontal="center"/>
    </xf>
    <xf numFmtId="3" fontId="56" fillId="3" borderId="53" xfId="0" applyNumberFormat="1" applyFont="1" applyFill="1" applyBorder="1"/>
    <xf numFmtId="3" fontId="56" fillId="3" borderId="8" xfId="0" applyNumberFormat="1" applyFont="1" applyFill="1" applyBorder="1"/>
    <xf numFmtId="3" fontId="56" fillId="3" borderId="22" xfId="0" applyNumberFormat="1" applyFont="1" applyFill="1" applyBorder="1"/>
    <xf numFmtId="4" fontId="56" fillId="3" borderId="44" xfId="0" applyNumberFormat="1" applyFont="1" applyFill="1" applyBorder="1"/>
    <xf numFmtId="0" fontId="57" fillId="3" borderId="4" xfId="0" applyFont="1" applyFill="1" applyBorder="1" applyAlignment="1">
      <alignment horizontal="right"/>
    </xf>
    <xf numFmtId="0" fontId="57" fillId="3" borderId="42" xfId="0" applyFont="1" applyFill="1" applyBorder="1" applyAlignment="1">
      <alignment horizontal="left"/>
    </xf>
    <xf numFmtId="168" fontId="57" fillId="3" borderId="47" xfId="1" applyNumberFormat="1" applyFont="1" applyFill="1" applyBorder="1" applyAlignment="1">
      <alignment horizontal="right"/>
    </xf>
    <xf numFmtId="168" fontId="57" fillId="3" borderId="5" xfId="1" applyNumberFormat="1" applyFont="1" applyFill="1" applyBorder="1" applyAlignment="1">
      <alignment horizontal="right"/>
    </xf>
    <xf numFmtId="168" fontId="57" fillId="3" borderId="0" xfId="1" applyNumberFormat="1" applyFont="1" applyFill="1" applyBorder="1" applyAlignment="1">
      <alignment horizontal="right"/>
    </xf>
    <xf numFmtId="4" fontId="57" fillId="3" borderId="42" xfId="1" applyNumberFormat="1" applyFont="1" applyFill="1" applyBorder="1" applyAlignment="1">
      <alignment horizontal="right"/>
    </xf>
    <xf numFmtId="0" fontId="58" fillId="0" borderId="4" xfId="0" applyFont="1" applyBorder="1" applyAlignment="1">
      <alignment horizontal="right"/>
    </xf>
    <xf numFmtId="0" fontId="58" fillId="0" borderId="42" xfId="0" applyFont="1" applyBorder="1" applyAlignment="1">
      <alignment horizontal="left"/>
    </xf>
    <xf numFmtId="168" fontId="56" fillId="0" borderId="47" xfId="1" applyNumberFormat="1" applyFont="1" applyFill="1" applyBorder="1" applyAlignment="1">
      <alignment horizontal="right"/>
    </xf>
    <xf numFmtId="168" fontId="56" fillId="0" borderId="5" xfId="1" applyNumberFormat="1" applyFont="1" applyFill="1" applyBorder="1" applyAlignment="1">
      <alignment horizontal="right"/>
    </xf>
    <xf numFmtId="168" fontId="56" fillId="0" borderId="0" xfId="1" applyNumberFormat="1" applyFont="1" applyFill="1" applyBorder="1" applyAlignment="1">
      <alignment horizontal="right"/>
    </xf>
    <xf numFmtId="4" fontId="56" fillId="0" borderId="42" xfId="1" applyNumberFormat="1" applyFont="1" applyFill="1" applyBorder="1" applyAlignment="1">
      <alignment horizontal="right"/>
    </xf>
    <xf numFmtId="168" fontId="60" fillId="0" borderId="47" xfId="1" applyNumberFormat="1" applyFont="1" applyFill="1" applyBorder="1" applyAlignment="1">
      <alignment horizontal="right"/>
    </xf>
    <xf numFmtId="168" fontId="57" fillId="0" borderId="47" xfId="1" applyNumberFormat="1" applyFont="1" applyFill="1" applyBorder="1" applyAlignment="1">
      <alignment horizontal="right" wrapText="1"/>
    </xf>
    <xf numFmtId="168" fontId="57" fillId="0" borderId="42" xfId="1" applyNumberFormat="1" applyFont="1" applyFill="1" applyBorder="1" applyAlignment="1">
      <alignment horizontal="right" wrapText="1"/>
    </xf>
    <xf numFmtId="168" fontId="60" fillId="0" borderId="47" xfId="1" applyNumberFormat="1" applyFont="1" applyFill="1" applyBorder="1" applyAlignment="1">
      <alignment horizontal="right" wrapText="1"/>
    </xf>
    <xf numFmtId="0" fontId="53" fillId="0" borderId="0" xfId="0" applyFont="1"/>
    <xf numFmtId="0" fontId="53" fillId="0" borderId="47" xfId="0" applyFont="1" applyBorder="1"/>
    <xf numFmtId="0" fontId="56" fillId="0" borderId="0" xfId="0" applyFont="1"/>
    <xf numFmtId="3" fontId="56" fillId="0" borderId="4" xfId="0" applyNumberFormat="1" applyFont="1" applyBorder="1"/>
    <xf numFmtId="0" fontId="62" fillId="0" borderId="42" xfId="0" applyFont="1" applyBorder="1"/>
    <xf numFmtId="3" fontId="62" fillId="0" borderId="47" xfId="0" applyNumberFormat="1" applyFont="1" applyBorder="1" applyAlignment="1">
      <alignment horizontal="right"/>
    </xf>
    <xf numFmtId="0" fontId="62" fillId="0" borderId="47" xfId="0" applyFont="1" applyBorder="1"/>
    <xf numFmtId="0" fontId="62" fillId="0" borderId="4" xfId="0" applyFont="1" applyBorder="1"/>
    <xf numFmtId="4" fontId="54" fillId="0" borderId="42" xfId="0" applyNumberFormat="1" applyFont="1" applyBorder="1"/>
    <xf numFmtId="0" fontId="62" fillId="0" borderId="0" xfId="0" applyFont="1"/>
    <xf numFmtId="3" fontId="62" fillId="0" borderId="47" xfId="0" applyNumberFormat="1" applyFont="1" applyBorder="1"/>
    <xf numFmtId="3" fontId="61" fillId="0" borderId="47" xfId="0" applyNumberFormat="1" applyFont="1" applyBorder="1" applyAlignment="1">
      <alignment horizontal="right" wrapText="1"/>
    </xf>
    <xf numFmtId="3" fontId="56" fillId="3" borderId="53" xfId="0" applyNumberFormat="1" applyFont="1" applyFill="1" applyBorder="1" applyAlignment="1">
      <alignment horizontal="right"/>
    </xf>
    <xf numFmtId="3" fontId="56" fillId="3" borderId="7" xfId="0" applyNumberFormat="1" applyFont="1" applyFill="1" applyBorder="1"/>
    <xf numFmtId="4" fontId="56" fillId="3" borderId="54" xfId="0" applyNumberFormat="1" applyFont="1" applyFill="1" applyBorder="1"/>
    <xf numFmtId="0" fontId="54" fillId="0" borderId="4" xfId="0" applyFont="1" applyBorder="1"/>
    <xf numFmtId="0" fontId="54" fillId="0" borderId="0" xfId="0" applyFont="1"/>
    <xf numFmtId="3" fontId="54" fillId="0" borderId="0" xfId="0" applyNumberFormat="1" applyFont="1" applyAlignment="1">
      <alignment horizontal="right"/>
    </xf>
    <xf numFmtId="3" fontId="54" fillId="0" borderId="0" xfId="0" applyNumberFormat="1" applyFont="1"/>
    <xf numFmtId="4" fontId="54" fillId="0" borderId="0" xfId="0" applyNumberFormat="1" applyFont="1"/>
    <xf numFmtId="3" fontId="52" fillId="0" borderId="0" xfId="0" applyNumberFormat="1" applyFont="1" applyAlignment="1">
      <alignment horizontal="right" wrapText="1"/>
    </xf>
    <xf numFmtId="3" fontId="52" fillId="0" borderId="2" xfId="0" applyNumberFormat="1" applyFont="1" applyBorder="1" applyAlignment="1">
      <alignment horizontal="right" wrapText="1"/>
    </xf>
    <xf numFmtId="4" fontId="53" fillId="0" borderId="3" xfId="0" applyNumberFormat="1" applyFont="1" applyBorder="1"/>
    <xf numFmtId="4" fontId="53" fillId="0" borderId="5" xfId="0" applyNumberFormat="1" applyFont="1" applyBorder="1"/>
    <xf numFmtId="0" fontId="52" fillId="0" borderId="0" xfId="0" applyFont="1" applyAlignment="1">
      <alignment horizontal="right"/>
    </xf>
    <xf numFmtId="3" fontId="61" fillId="0" borderId="0" xfId="0" applyNumberFormat="1" applyFont="1" applyAlignment="1">
      <alignment horizontal="right"/>
    </xf>
    <xf numFmtId="3" fontId="63" fillId="0" borderId="0" xfId="0" applyNumberFormat="1" applyFont="1" applyAlignment="1">
      <alignment horizontal="right"/>
    </xf>
    <xf numFmtId="0" fontId="63" fillId="0" borderId="0" xfId="0" applyFont="1" applyAlignment="1">
      <alignment horizontal="center"/>
    </xf>
    <xf numFmtId="3" fontId="64" fillId="0" borderId="0" xfId="0" applyNumberFormat="1" applyFont="1" applyAlignment="1">
      <alignment horizontal="right"/>
    </xf>
    <xf numFmtId="0" fontId="54" fillId="0" borderId="6" xfId="0" applyFont="1" applyBorder="1"/>
    <xf numFmtId="0" fontId="54" fillId="0" borderId="7" xfId="0" applyFont="1" applyBorder="1"/>
    <xf numFmtId="3" fontId="54" fillId="0" borderId="7" xfId="0" applyNumberFormat="1" applyFont="1" applyBorder="1" applyAlignment="1">
      <alignment horizontal="right"/>
    </xf>
    <xf numFmtId="4" fontId="53" fillId="0" borderId="8" xfId="0" applyNumberFormat="1" applyFont="1" applyBorder="1"/>
    <xf numFmtId="4" fontId="22" fillId="3" borderId="34" xfId="0" applyNumberFormat="1" applyFont="1" applyFill="1" applyBorder="1"/>
    <xf numFmtId="0" fontId="48" fillId="0" borderId="1" xfId="0" applyFont="1" applyBorder="1"/>
    <xf numFmtId="0" fontId="48" fillId="0" borderId="2" xfId="0" applyFont="1" applyBorder="1"/>
    <xf numFmtId="0" fontId="48" fillId="0" borderId="3" xfId="0" applyFont="1" applyBorder="1"/>
    <xf numFmtId="0" fontId="48" fillId="0" borderId="4" xfId="0" applyFont="1" applyBorder="1"/>
    <xf numFmtId="0" fontId="48" fillId="0" borderId="42" xfId="0" applyFont="1" applyBorder="1"/>
    <xf numFmtId="0" fontId="43" fillId="0" borderId="26" xfId="0" applyFont="1" applyBorder="1"/>
    <xf numFmtId="0" fontId="43" fillId="0" borderId="25" xfId="0" applyFont="1" applyBorder="1"/>
    <xf numFmtId="0" fontId="22" fillId="3" borderId="24" xfId="0" applyFont="1" applyFill="1" applyBorder="1" applyAlignment="1">
      <alignment horizontal="right"/>
    </xf>
    <xf numFmtId="0" fontId="22" fillId="3" borderId="25" xfId="0" applyFont="1" applyFill="1" applyBorder="1"/>
    <xf numFmtId="3" fontId="22" fillId="3" borderId="15" xfId="0" applyNumberFormat="1" applyFont="1" applyFill="1" applyBorder="1" applyAlignment="1">
      <alignment horizontal="right"/>
    </xf>
    <xf numFmtId="166" fontId="22" fillId="3" borderId="20" xfId="0" applyNumberFormat="1" applyFont="1" applyFill="1" applyBorder="1"/>
    <xf numFmtId="3" fontId="22" fillId="2" borderId="32" xfId="1" applyNumberFormat="1" applyFont="1" applyFill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0" fontId="34" fillId="0" borderId="27" xfId="0" applyFont="1" applyBorder="1"/>
    <xf numFmtId="3" fontId="34" fillId="0" borderId="32" xfId="0" applyNumberFormat="1" applyFont="1" applyBorder="1" applyAlignment="1">
      <alignment horizontal="right"/>
    </xf>
    <xf numFmtId="0" fontId="50" fillId="0" borderId="26" xfId="0" applyFont="1" applyBorder="1" applyAlignment="1">
      <alignment horizontal="right"/>
    </xf>
    <xf numFmtId="0" fontId="50" fillId="0" borderId="0" xfId="0" applyFont="1" applyAlignment="1">
      <alignment horizontal="left"/>
    </xf>
    <xf numFmtId="3" fontId="22" fillId="0" borderId="32" xfId="1" applyNumberFormat="1" applyFont="1" applyFill="1" applyBorder="1" applyAlignment="1">
      <alignment horizontal="right"/>
    </xf>
    <xf numFmtId="166" fontId="22" fillId="0" borderId="27" xfId="1" applyNumberFormat="1" applyFont="1" applyFill="1" applyBorder="1" applyAlignment="1">
      <alignment horizontal="right"/>
    </xf>
    <xf numFmtId="166" fontId="22" fillId="0" borderId="0" xfId="1" applyNumberFormat="1" applyFont="1" applyFill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166" fontId="34" fillId="0" borderId="27" xfId="1" applyNumberFormat="1" applyFont="1" applyFill="1" applyBorder="1" applyAlignment="1">
      <alignment horizontal="right"/>
    </xf>
    <xf numFmtId="166" fontId="34" fillId="0" borderId="0" xfId="1" applyNumberFormat="1" applyFont="1" applyFill="1" applyBorder="1" applyAlignment="1">
      <alignment horizontal="right"/>
    </xf>
    <xf numFmtId="0" fontId="34" fillId="0" borderId="26" xfId="0" applyFont="1" applyBorder="1" applyAlignment="1">
      <alignment horizontal="right"/>
    </xf>
    <xf numFmtId="4" fontId="22" fillId="0" borderId="32" xfId="1" applyNumberFormat="1" applyFont="1" applyFill="1" applyBorder="1" applyAlignment="1">
      <alignment horizontal="right"/>
    </xf>
    <xf numFmtId="166" fontId="34" fillId="0" borderId="27" xfId="1" applyNumberFormat="1" applyFont="1" applyFill="1" applyBorder="1"/>
    <xf numFmtId="166" fontId="43" fillId="0" borderId="0" xfId="1" applyNumberFormat="1" applyFont="1" applyFill="1" applyBorder="1"/>
    <xf numFmtId="0" fontId="22" fillId="2" borderId="26" xfId="0" applyFont="1" applyFill="1" applyBorder="1" applyAlignment="1">
      <alignment horizontal="right"/>
    </xf>
    <xf numFmtId="0" fontId="22" fillId="2" borderId="0" xfId="0" applyFont="1" applyFill="1" applyAlignment="1">
      <alignment horizontal="left"/>
    </xf>
    <xf numFmtId="3" fontId="22" fillId="2" borderId="32" xfId="0" applyNumberFormat="1" applyFont="1" applyFill="1" applyBorder="1" applyAlignment="1">
      <alignment horizontal="right"/>
    </xf>
    <xf numFmtId="3" fontId="22" fillId="2" borderId="27" xfId="0" applyNumberFormat="1" applyFont="1" applyFill="1" applyBorder="1" applyAlignment="1">
      <alignment horizontal="right"/>
    </xf>
    <xf numFmtId="3" fontId="22" fillId="2" borderId="0" xfId="0" applyNumberFormat="1" applyFont="1" applyFill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50" fillId="0" borderId="32" xfId="0" applyNumberFormat="1" applyFont="1" applyBorder="1" applyAlignment="1">
      <alignment horizontal="right"/>
    </xf>
    <xf numFmtId="3" fontId="50" fillId="0" borderId="27" xfId="0" applyNumberFormat="1" applyFont="1" applyBorder="1" applyAlignment="1">
      <alignment horizontal="right"/>
    </xf>
    <xf numFmtId="3" fontId="50" fillId="0" borderId="0" xfId="0" applyNumberFormat="1" applyFont="1" applyAlignment="1">
      <alignment horizontal="right"/>
    </xf>
    <xf numFmtId="3" fontId="34" fillId="0" borderId="27" xfId="0" applyNumberFormat="1" applyFont="1" applyBorder="1" applyAlignment="1">
      <alignment horizontal="right"/>
    </xf>
    <xf numFmtId="0" fontId="46" fillId="0" borderId="0" xfId="0" applyFont="1"/>
    <xf numFmtId="0" fontId="34" fillId="0" borderId="0" xfId="0" applyFont="1" applyAlignment="1">
      <alignment horizontal="left" vertical="center"/>
    </xf>
    <xf numFmtId="0" fontId="34" fillId="0" borderId="26" xfId="0" applyFont="1" applyBorder="1"/>
    <xf numFmtId="0" fontId="34" fillId="0" borderId="0" xfId="0" applyFont="1"/>
    <xf numFmtId="0" fontId="22" fillId="0" borderId="26" xfId="0" applyFont="1" applyBorder="1"/>
    <xf numFmtId="0" fontId="22" fillId="0" borderId="0" xfId="0" applyFont="1"/>
    <xf numFmtId="3" fontId="22" fillId="4" borderId="32" xfId="0" applyNumberFormat="1" applyFont="1" applyFill="1" applyBorder="1" applyAlignment="1">
      <alignment horizontal="right"/>
    </xf>
    <xf numFmtId="3" fontId="22" fillId="4" borderId="27" xfId="0" applyNumberFormat="1" applyFont="1" applyFill="1" applyBorder="1"/>
    <xf numFmtId="3" fontId="22" fillId="4" borderId="0" xfId="0" applyNumberFormat="1" applyFont="1" applyFill="1"/>
    <xf numFmtId="0" fontId="46" fillId="4" borderId="26" xfId="0" applyFont="1" applyFill="1" applyBorder="1" applyAlignment="1">
      <alignment horizontal="center"/>
    </xf>
    <xf numFmtId="0" fontId="46" fillId="4" borderId="0" xfId="0" applyFont="1" applyFill="1" applyAlignment="1">
      <alignment horizontal="center"/>
    </xf>
    <xf numFmtId="0" fontId="48" fillId="0" borderId="6" xfId="0" applyFont="1" applyBorder="1"/>
    <xf numFmtId="3" fontId="22" fillId="3" borderId="59" xfId="0" applyNumberFormat="1" applyFont="1" applyFill="1" applyBorder="1" applyAlignment="1">
      <alignment horizontal="right"/>
    </xf>
    <xf numFmtId="3" fontId="22" fillId="3" borderId="60" xfId="0" applyNumberFormat="1" applyFont="1" applyFill="1" applyBorder="1"/>
    <xf numFmtId="3" fontId="22" fillId="3" borderId="7" xfId="0" applyNumberFormat="1" applyFont="1" applyFill="1" applyBorder="1"/>
    <xf numFmtId="0" fontId="48" fillId="0" borderId="54" xfId="0" applyFont="1" applyBorder="1"/>
    <xf numFmtId="0" fontId="26" fillId="3" borderId="1" xfId="0" applyFont="1" applyFill="1" applyBorder="1" applyAlignment="1">
      <alignment horizontal="right"/>
    </xf>
    <xf numFmtId="0" fontId="26" fillId="3" borderId="2" xfId="0" applyFont="1" applyFill="1" applyBorder="1" applyAlignment="1">
      <alignment horizontal="left"/>
    </xf>
    <xf numFmtId="168" fontId="26" fillId="3" borderId="3" xfId="1" applyNumberFormat="1" applyFont="1" applyFill="1" applyBorder="1" applyAlignment="1">
      <alignment horizontal="right"/>
    </xf>
    <xf numFmtId="0" fontId="10" fillId="0" borderId="28" xfId="0" applyFont="1" applyBorder="1" applyAlignment="1">
      <alignment horizontal="right"/>
    </xf>
    <xf numFmtId="0" fontId="10" fillId="0" borderId="29" xfId="0" applyFont="1" applyBorder="1" applyAlignment="1">
      <alignment horizontal="left"/>
    </xf>
    <xf numFmtId="166" fontId="10" fillId="0" borderId="30" xfId="1" applyNumberFormat="1" applyFont="1" applyFill="1" applyBorder="1" applyAlignment="1">
      <alignment horizontal="right"/>
    </xf>
    <xf numFmtId="0" fontId="13" fillId="0" borderId="15" xfId="0" applyFont="1" applyBorder="1" applyAlignment="1">
      <alignment horizontal="left"/>
    </xf>
    <xf numFmtId="0" fontId="65" fillId="0" borderId="15" xfId="0" applyFont="1" applyBorder="1" applyAlignment="1">
      <alignment horizontal="left"/>
    </xf>
    <xf numFmtId="0" fontId="10" fillId="0" borderId="14" xfId="0" applyFont="1" applyBorder="1" applyAlignment="1">
      <alignment horizontal="right"/>
    </xf>
    <xf numFmtId="3" fontId="34" fillId="0" borderId="0" xfId="1" applyNumberFormat="1" applyFont="1" applyFill="1" applyBorder="1" applyAlignment="1">
      <alignment horizontal="right"/>
    </xf>
    <xf numFmtId="4" fontId="22" fillId="0" borderId="32" xfId="0" applyNumberFormat="1" applyFont="1" applyBorder="1" applyAlignment="1">
      <alignment horizontal="right"/>
    </xf>
    <xf numFmtId="0" fontId="0" fillId="0" borderId="2" xfId="0" applyBorder="1"/>
    <xf numFmtId="164" fontId="42" fillId="0" borderId="10" xfId="1" applyNumberFormat="1" applyFont="1" applyFill="1" applyBorder="1" applyAlignment="1">
      <alignment vertical="center" wrapText="1"/>
    </xf>
    <xf numFmtId="164" fontId="41" fillId="0" borderId="10" xfId="0" applyNumberFormat="1" applyFont="1" applyBorder="1" applyAlignment="1">
      <alignment vertical="center" wrapText="1"/>
    </xf>
    <xf numFmtId="164" fontId="42" fillId="0" borderId="10" xfId="0" applyNumberFormat="1" applyFont="1" applyBorder="1" applyAlignment="1">
      <alignment vertical="center" wrapText="1"/>
    </xf>
    <xf numFmtId="164" fontId="41" fillId="0" borderId="10" xfId="0" applyNumberFormat="1" applyFont="1" applyBorder="1" applyAlignment="1">
      <alignment vertical="center"/>
    </xf>
    <xf numFmtId="164" fontId="42" fillId="0" borderId="10" xfId="0" applyNumberFormat="1" applyFont="1" applyBorder="1" applyAlignment="1">
      <alignment vertical="center"/>
    </xf>
    <xf numFmtId="3" fontId="41" fillId="0" borderId="0" xfId="0" applyNumberFormat="1" applyFont="1" applyAlignment="1">
      <alignment horizontal="right"/>
    </xf>
    <xf numFmtId="3" fontId="41" fillId="0" borderId="0" xfId="0" applyNumberFormat="1" applyFont="1"/>
    <xf numFmtId="3" fontId="42" fillId="0" borderId="0" xfId="0" applyNumberFormat="1" applyFont="1"/>
    <xf numFmtId="0" fontId="41" fillId="0" borderId="0" xfId="0" applyFont="1"/>
    <xf numFmtId="3" fontId="20" fillId="0" borderId="0" xfId="0" applyNumberFormat="1" applyFont="1"/>
    <xf numFmtId="0" fontId="41" fillId="0" borderId="7" xfId="0" applyFont="1" applyBorder="1" applyAlignment="1">
      <alignment horizontal="right"/>
    </xf>
    <xf numFmtId="0" fontId="41" fillId="0" borderId="7" xfId="0" applyFont="1" applyBorder="1"/>
    <xf numFmtId="0" fontId="11" fillId="2" borderId="21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164" fontId="10" fillId="6" borderId="10" xfId="1" applyNumberFormat="1" applyFont="1" applyFill="1" applyBorder="1" applyAlignment="1">
      <alignment vertical="center"/>
    </xf>
    <xf numFmtId="164" fontId="37" fillId="0" borderId="0" xfId="0" applyNumberFormat="1" applyFont="1"/>
    <xf numFmtId="43" fontId="37" fillId="0" borderId="0" xfId="0" applyNumberFormat="1" applyFont="1"/>
    <xf numFmtId="3" fontId="0" fillId="0" borderId="0" xfId="0" applyNumberFormat="1"/>
    <xf numFmtId="3" fontId="28" fillId="0" borderId="0" xfId="0" applyNumberFormat="1" applyFont="1"/>
    <xf numFmtId="0" fontId="23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5" fillId="0" borderId="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3" borderId="2" xfId="0" applyFont="1" applyFill="1" applyBorder="1" applyAlignment="1">
      <alignment horizontal="center"/>
    </xf>
    <xf numFmtId="0" fontId="52" fillId="3" borderId="1" xfId="0" applyFont="1" applyFill="1" applyBorder="1" applyAlignment="1">
      <alignment horizontal="center"/>
    </xf>
    <xf numFmtId="0" fontId="52" fillId="3" borderId="2" xfId="0" applyFont="1" applyFill="1" applyBorder="1" applyAlignment="1">
      <alignment horizontal="center"/>
    </xf>
    <xf numFmtId="0" fontId="52" fillId="3" borderId="4" xfId="0" applyFont="1" applyFill="1" applyBorder="1" applyAlignment="1">
      <alignment horizontal="center"/>
    </xf>
    <xf numFmtId="0" fontId="52" fillId="3" borderId="0" xfId="0" applyFont="1" applyFill="1" applyAlignment="1">
      <alignment horizontal="center"/>
    </xf>
    <xf numFmtId="0" fontId="52" fillId="3" borderId="6" xfId="0" applyFont="1" applyFill="1" applyBorder="1" applyAlignment="1">
      <alignment horizontal="center"/>
    </xf>
    <xf numFmtId="0" fontId="52" fillId="3" borderId="7" xfId="0" applyFont="1" applyFill="1" applyBorder="1" applyAlignment="1">
      <alignment horizontal="center"/>
    </xf>
    <xf numFmtId="0" fontId="54" fillId="0" borderId="1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56" fillId="2" borderId="4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3" borderId="6" xfId="0" applyFont="1" applyFill="1" applyBorder="1" applyAlignment="1">
      <alignment horizontal="center"/>
    </xf>
    <xf numFmtId="0" fontId="56" fillId="3" borderId="7" xfId="0" applyFont="1" applyFill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7" fontId="11" fillId="2" borderId="13" xfId="1" applyNumberFormat="1" applyFont="1" applyFill="1" applyBorder="1" applyAlignment="1">
      <alignment horizontal="center" vertical="center" wrapText="1"/>
    </xf>
    <xf numFmtId="167" fontId="11" fillId="2" borderId="15" xfId="1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46" fillId="4" borderId="26" xfId="0" applyFont="1" applyFill="1" applyBorder="1" applyAlignment="1">
      <alignment horizontal="center"/>
    </xf>
    <xf numFmtId="0" fontId="46" fillId="4" borderId="0" xfId="0" applyFont="1" applyFill="1" applyAlignment="1">
      <alignment horizontal="center"/>
    </xf>
    <xf numFmtId="0" fontId="46" fillId="3" borderId="34" xfId="0" applyFont="1" applyFill="1" applyBorder="1" applyAlignment="1">
      <alignment horizontal="center"/>
    </xf>
    <xf numFmtId="0" fontId="46" fillId="3" borderId="7" xfId="0" applyFont="1" applyFill="1" applyBorder="1" applyAlignment="1">
      <alignment horizontal="center"/>
    </xf>
    <xf numFmtId="0" fontId="22" fillId="3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48" fillId="0" borderId="25" xfId="0" applyFont="1" applyBorder="1" applyAlignment="1">
      <alignment horizontal="center" wrapText="1"/>
    </xf>
    <xf numFmtId="0" fontId="48" fillId="0" borderId="20" xfId="0" applyFont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3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8" fillId="0" borderId="27" xfId="0" applyFont="1" applyBorder="1" applyAlignment="1">
      <alignment horizontal="center" wrapText="1"/>
    </xf>
    <xf numFmtId="0" fontId="22" fillId="2" borderId="28" xfId="0" applyFont="1" applyFill="1" applyBorder="1" applyAlignment="1">
      <alignment horizontal="center" wrapText="1"/>
    </xf>
    <xf numFmtId="0" fontId="22" fillId="2" borderId="29" xfId="0" applyFont="1" applyFill="1" applyBorder="1" applyAlignment="1">
      <alignment horizontal="center" wrapText="1"/>
    </xf>
    <xf numFmtId="0" fontId="48" fillId="0" borderId="29" xfId="0" applyFont="1" applyBorder="1" applyAlignment="1">
      <alignment horizontal="center" wrapText="1"/>
    </xf>
    <xf numFmtId="0" fontId="48" fillId="0" borderId="30" xfId="0" applyFont="1" applyBorder="1" applyAlignment="1">
      <alignment horizontal="center" wrapText="1"/>
    </xf>
    <xf numFmtId="0" fontId="46" fillId="2" borderId="26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6" fillId="0" borderId="25" xfId="0" applyFont="1" applyBorder="1" applyAlignment="1">
      <alignment horizontal="center" wrapText="1"/>
    </xf>
    <xf numFmtId="0" fontId="31" fillId="0" borderId="25" xfId="0" applyFont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44" fillId="0" borderId="4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28577</xdr:rowOff>
    </xdr:from>
    <xdr:to>
      <xdr:col>7</xdr:col>
      <xdr:colOff>628650</xdr:colOff>
      <xdr:row>3</xdr:row>
      <xdr:rowOff>133350</xdr:rowOff>
    </xdr:to>
    <xdr:pic>
      <xdr:nvPicPr>
        <xdr:cNvPr id="2" name="0 Imagen" descr="encabezadoMembre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9075" y="28577"/>
          <a:ext cx="2647950" cy="67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390524</xdr:colOff>
      <xdr:row>0</xdr:row>
      <xdr:rowOff>28575</xdr:rowOff>
    </xdr:from>
    <xdr:to>
      <xdr:col>2</xdr:col>
      <xdr:colOff>2200274</xdr:colOff>
      <xdr:row>3</xdr:row>
      <xdr:rowOff>123825</xdr:rowOff>
    </xdr:to>
    <xdr:pic>
      <xdr:nvPicPr>
        <xdr:cNvPr id="3" name="0 Imagen" descr="encabezadoMembret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28575"/>
          <a:ext cx="23907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122464</xdr:colOff>
      <xdr:row>0</xdr:row>
      <xdr:rowOff>13607</xdr:rowOff>
    </xdr:from>
    <xdr:ext cx="3687536" cy="707572"/>
    <xdr:pic>
      <xdr:nvPicPr>
        <xdr:cNvPr id="2" name="0 Imagen" descr="encabezadoMembret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607" y="13607"/>
          <a:ext cx="3687536" cy="707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142875</xdr:rowOff>
    </xdr:from>
    <xdr:to>
      <xdr:col>0</xdr:col>
      <xdr:colOff>1962150</xdr:colOff>
      <xdr:row>5</xdr:row>
      <xdr:rowOff>19050</xdr:rowOff>
    </xdr:to>
    <xdr:pic>
      <xdr:nvPicPr>
        <xdr:cNvPr id="3" name="0 Imagen" descr="encabezadoMembrete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323850"/>
          <a:ext cx="1809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UAS%20CHOCO%202020/ESTADOS%20FINANCIEROS%20Y%20NOTAS%20A%20LOS%20ESTADOS%20FROS/ESTADOS%20FINANCIEROS%20-%20ACHO%20%20a%2030%20de%20Diciembre%20de%202020%20EDINSON%20DICIEMBRE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BALANCE COMPARATIVO"/>
      <sheetName val="MAYOR Y BALANCE"/>
      <sheetName val="ESTADO RESULTADO"/>
      <sheetName val="ESTADO DE RESULTADO COMPARATIVO"/>
      <sheetName val="CAMBIO PATRIMONIO"/>
    </sheetNames>
    <sheetDataSet>
      <sheetData sheetId="0"/>
      <sheetData sheetId="1"/>
      <sheetData sheetId="2">
        <row r="124">
          <cell r="M124">
            <v>79860476</v>
          </cell>
        </row>
        <row r="183">
          <cell r="L183">
            <v>0</v>
          </cell>
        </row>
        <row r="203">
          <cell r="L203">
            <v>0</v>
          </cell>
        </row>
      </sheetData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RENT LEISCY PALOMEQUE ABUHATAB" id="{5A0F7293-83CF-4748-9D4F-8B74DCC8CE31}" userId="77ceb6a247ea7beb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77" dT="2020-08-11T04:49:03.97" personId="{5A0F7293-83CF-4748-9D4F-8B74DCC8CE31}" id="{AD50F2B8-1508-4C8B-BAB4-BDF9F925B8E5}">
    <text>Estan incluido los 90.000.000 de honorarios de la Cuenta 511111 (honorarios)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70"/>
  <sheetViews>
    <sheetView tabSelected="1" topLeftCell="A45" zoomScaleNormal="100" workbookViewId="0">
      <selection activeCell="B5" sqref="B5:H5"/>
    </sheetView>
  </sheetViews>
  <sheetFormatPr baseColWidth="10" defaultColWidth="11.42578125" defaultRowHeight="13.5"/>
  <cols>
    <col min="1" max="1" width="4.42578125" style="1" customWidth="1"/>
    <col min="2" max="2" width="8.7109375" style="1" customWidth="1"/>
    <col min="3" max="3" width="46.5703125" style="1" customWidth="1"/>
    <col min="4" max="4" width="14.140625" style="1" customWidth="1"/>
    <col min="5" max="5" width="1.5703125" style="1" customWidth="1"/>
    <col min="6" max="6" width="13.85546875" style="1" customWidth="1"/>
    <col min="7" max="7" width="44.7109375" style="1" customWidth="1"/>
    <col min="8" max="8" width="14" style="1" customWidth="1"/>
    <col min="9" max="9" width="11.7109375" style="1" bestFit="1" customWidth="1"/>
    <col min="10" max="10" width="17.85546875" style="294" bestFit="1" customWidth="1"/>
    <col min="11" max="13" width="11.42578125" style="294"/>
    <col min="14" max="16384" width="11.42578125" style="1"/>
  </cols>
  <sheetData>
    <row r="1" spans="2:14" ht="18" customHeight="1">
      <c r="B1" s="537" t="s">
        <v>0</v>
      </c>
      <c r="C1" s="538"/>
      <c r="D1" s="538"/>
      <c r="E1" s="538"/>
      <c r="F1" s="538"/>
      <c r="G1" s="538"/>
      <c r="H1" s="539"/>
      <c r="I1" s="4"/>
      <c r="J1" s="293"/>
      <c r="K1" s="293"/>
      <c r="L1" s="293"/>
      <c r="M1" s="293"/>
      <c r="N1" s="4"/>
    </row>
    <row r="2" spans="2:14">
      <c r="B2" s="540" t="s">
        <v>184</v>
      </c>
      <c r="C2" s="541"/>
      <c r="D2" s="541"/>
      <c r="E2" s="541"/>
      <c r="F2" s="541"/>
      <c r="G2" s="541"/>
      <c r="H2" s="542"/>
      <c r="I2" s="4"/>
      <c r="J2" s="293"/>
      <c r="K2" s="293"/>
      <c r="L2" s="293"/>
      <c r="M2" s="293"/>
      <c r="N2" s="4"/>
    </row>
    <row r="3" spans="2:14">
      <c r="B3" s="540" t="s">
        <v>243</v>
      </c>
      <c r="C3" s="541"/>
      <c r="D3" s="541"/>
      <c r="E3" s="541"/>
      <c r="F3" s="541"/>
      <c r="G3" s="541"/>
      <c r="H3" s="542"/>
    </row>
    <row r="4" spans="2:14" ht="14.25" thickBot="1">
      <c r="B4" s="540" t="s">
        <v>339</v>
      </c>
      <c r="C4" s="541"/>
      <c r="D4" s="541"/>
      <c r="E4" s="541"/>
      <c r="F4" s="541"/>
      <c r="G4" s="541"/>
      <c r="H4" s="542"/>
    </row>
    <row r="5" spans="2:14" ht="14.25" thickBot="1">
      <c r="B5" s="543"/>
      <c r="C5" s="544"/>
      <c r="D5" s="544"/>
      <c r="E5" s="544"/>
      <c r="F5" s="544"/>
      <c r="G5" s="544"/>
      <c r="H5" s="545"/>
    </row>
    <row r="6" spans="2:14" s="96" customFormat="1" ht="15" customHeight="1">
      <c r="B6" s="550" t="s">
        <v>2</v>
      </c>
      <c r="C6" s="551"/>
      <c r="D6" s="115">
        <f>+D7</f>
        <v>10779146980.391111</v>
      </c>
      <c r="E6" s="103"/>
      <c r="F6" s="550" t="s">
        <v>3</v>
      </c>
      <c r="G6" s="551"/>
      <c r="H6" s="115">
        <f>+H7</f>
        <v>202852521.60000002</v>
      </c>
      <c r="J6" s="295"/>
      <c r="K6" s="295"/>
      <c r="L6" s="295"/>
      <c r="M6" s="295"/>
    </row>
    <row r="7" spans="2:14" s="96" customFormat="1" ht="15" customHeight="1">
      <c r="B7" s="548" t="s">
        <v>4</v>
      </c>
      <c r="C7" s="549"/>
      <c r="D7" s="116">
        <f>+D9+D49+D31+D35</f>
        <v>10779146980.391111</v>
      </c>
      <c r="E7" s="103"/>
      <c r="F7" s="548" t="s">
        <v>5</v>
      </c>
      <c r="G7" s="549"/>
      <c r="H7" s="117">
        <f>+H9+H36</f>
        <v>202852521.60000002</v>
      </c>
      <c r="J7" s="295"/>
      <c r="K7" s="295"/>
      <c r="L7" s="295"/>
      <c r="M7" s="295"/>
    </row>
    <row r="8" spans="2:14" s="96" customFormat="1" ht="12.75">
      <c r="B8" s="93"/>
      <c r="C8" s="94"/>
      <c r="D8" s="95"/>
      <c r="F8" s="97"/>
      <c r="G8" s="89"/>
      <c r="H8" s="90"/>
      <c r="J8" s="295"/>
      <c r="K8" s="295"/>
      <c r="L8" s="295"/>
      <c r="M8" s="295"/>
    </row>
    <row r="9" spans="2:14" s="96" customFormat="1" thickBot="1">
      <c r="B9" s="98">
        <v>11</v>
      </c>
      <c r="C9" s="99" t="s">
        <v>178</v>
      </c>
      <c r="D9" s="136">
        <f>D12</f>
        <v>1588462848.1800003</v>
      </c>
      <c r="F9" s="98">
        <v>24</v>
      </c>
      <c r="G9" s="99" t="s">
        <v>180</v>
      </c>
      <c r="H9" s="136">
        <f>+H10+H12+H14+H23+H30</f>
        <v>202852521.60000002</v>
      </c>
      <c r="J9" s="295"/>
      <c r="K9" s="295"/>
      <c r="L9" s="295"/>
      <c r="M9" s="295"/>
    </row>
    <row r="10" spans="2:14" s="96" customFormat="1" thickTop="1">
      <c r="B10" s="97">
        <v>1105</v>
      </c>
      <c r="C10" s="89" t="s">
        <v>7</v>
      </c>
      <c r="D10" s="90">
        <v>0</v>
      </c>
      <c r="F10" s="97">
        <v>2401</v>
      </c>
      <c r="G10" s="89" t="s">
        <v>8</v>
      </c>
      <c r="H10" s="90">
        <f>+H11</f>
        <v>0</v>
      </c>
      <c r="J10" s="295"/>
      <c r="K10" s="295"/>
      <c r="L10" s="295"/>
      <c r="M10" s="295"/>
    </row>
    <row r="11" spans="2:14" s="96" customFormat="1" ht="12.75">
      <c r="B11" s="100">
        <v>110501</v>
      </c>
      <c r="C11" s="91" t="s">
        <v>9</v>
      </c>
      <c r="D11" s="92">
        <v>0</v>
      </c>
      <c r="F11" s="100">
        <v>240101</v>
      </c>
      <c r="G11" s="91" t="s">
        <v>10</v>
      </c>
      <c r="H11" s="101">
        <f>'MAYOR Y BALANCE'!M64</f>
        <v>0</v>
      </c>
      <c r="J11" s="295"/>
      <c r="K11" s="295"/>
      <c r="L11" s="295"/>
      <c r="M11" s="295"/>
    </row>
    <row r="12" spans="2:14" s="96" customFormat="1" ht="12.75">
      <c r="B12" s="97">
        <v>1110</v>
      </c>
      <c r="C12" s="89" t="s">
        <v>11</v>
      </c>
      <c r="D12" s="90">
        <f>SUM(D13:D29)</f>
        <v>1588462848.1800003</v>
      </c>
      <c r="F12" s="102">
        <v>2424</v>
      </c>
      <c r="G12" s="103" t="s">
        <v>266</v>
      </c>
      <c r="H12" s="90">
        <f>+H13</f>
        <v>154377</v>
      </c>
      <c r="J12" s="295"/>
      <c r="K12" s="295"/>
      <c r="L12" s="295"/>
      <c r="M12" s="295"/>
    </row>
    <row r="13" spans="2:14" s="96" customFormat="1" ht="12.75">
      <c r="B13" s="100">
        <v>11100501</v>
      </c>
      <c r="C13" s="91" t="s">
        <v>12</v>
      </c>
      <c r="D13" s="92">
        <f>'MAYOR Y BALANCE'!L13</f>
        <v>754230</v>
      </c>
      <c r="F13" s="93">
        <v>242411</v>
      </c>
      <c r="G13" s="96" t="s">
        <v>219</v>
      </c>
      <c r="H13" s="92">
        <v>154377</v>
      </c>
      <c r="L13" s="295"/>
      <c r="M13" s="295"/>
    </row>
    <row r="14" spans="2:14" s="96" customFormat="1" ht="12.75">
      <c r="B14" s="100">
        <v>11100502</v>
      </c>
      <c r="C14" s="91" t="s">
        <v>14</v>
      </c>
      <c r="D14" s="92">
        <f>'MAYOR Y BALANCE'!L14</f>
        <v>3790525</v>
      </c>
      <c r="F14" s="102">
        <v>2436</v>
      </c>
      <c r="G14" s="103" t="s">
        <v>26</v>
      </c>
      <c r="H14" s="104">
        <f>SUM(H15:H22)</f>
        <v>6277985.1199999992</v>
      </c>
      <c r="I14" s="208"/>
      <c r="L14" s="295"/>
      <c r="M14" s="295"/>
    </row>
    <row r="15" spans="2:14" s="96" customFormat="1" ht="12.75">
      <c r="B15" s="100">
        <v>11100503</v>
      </c>
      <c r="C15" s="91" t="s">
        <v>16</v>
      </c>
      <c r="D15" s="92">
        <f>'MAYOR Y BALANCE'!L15</f>
        <v>3143121</v>
      </c>
      <c r="F15" s="93">
        <v>243603</v>
      </c>
      <c r="G15" s="96" t="s">
        <v>23</v>
      </c>
      <c r="H15" s="92">
        <f>+'MAYOR Y BALANCE'!M75</f>
        <v>1950252.9800000007</v>
      </c>
      <c r="I15" s="209"/>
      <c r="L15" s="295"/>
      <c r="M15" s="295"/>
    </row>
    <row r="16" spans="2:14" s="96" customFormat="1" ht="12.75">
      <c r="B16" s="100">
        <v>11100504</v>
      </c>
      <c r="C16" s="91" t="s">
        <v>18</v>
      </c>
      <c r="D16" s="92">
        <f>'MAYOR Y BALANCE'!L16</f>
        <v>0</v>
      </c>
      <c r="F16" s="93">
        <v>243605</v>
      </c>
      <c r="G16" s="96" t="s">
        <v>24</v>
      </c>
      <c r="H16" s="92">
        <f>+'MAYOR Y BALANCE'!M76</f>
        <v>499950</v>
      </c>
      <c r="I16" s="209"/>
      <c r="L16" s="295"/>
      <c r="M16" s="295"/>
    </row>
    <row r="17" spans="2:13" s="96" customFormat="1" ht="12.75">
      <c r="B17" s="100">
        <v>11100505</v>
      </c>
      <c r="C17" s="91" t="s">
        <v>20</v>
      </c>
      <c r="D17" s="92">
        <f>'MAYOR Y BALANCE'!L17</f>
        <v>3142309</v>
      </c>
      <c r="F17" s="93">
        <v>243606</v>
      </c>
      <c r="G17" s="96" t="s">
        <v>220</v>
      </c>
      <c r="H17" s="92">
        <f>+'MAYOR Y BALANCE'!M77</f>
        <v>0.47999999998137355</v>
      </c>
      <c r="I17" s="209"/>
      <c r="L17" s="295"/>
      <c r="M17" s="295"/>
    </row>
    <row r="18" spans="2:13" s="96" customFormat="1" ht="12.75">
      <c r="B18" s="100">
        <v>11100506</v>
      </c>
      <c r="C18" s="91" t="s">
        <v>149</v>
      </c>
      <c r="D18" s="92">
        <f>'MAYOR Y BALANCE'!L18</f>
        <v>3253205</v>
      </c>
      <c r="F18" s="93">
        <v>243608</v>
      </c>
      <c r="G18" s="96" t="s">
        <v>33</v>
      </c>
      <c r="H18" s="92">
        <f>+'MAYOR Y BALANCE'!M78</f>
        <v>1083658.3799999999</v>
      </c>
      <c r="I18" s="209"/>
      <c r="L18" s="295"/>
      <c r="M18" s="295"/>
    </row>
    <row r="19" spans="2:13" s="96" customFormat="1" ht="12.75">
      <c r="B19" s="100">
        <v>11100507</v>
      </c>
      <c r="C19" s="91" t="s">
        <v>151</v>
      </c>
      <c r="D19" s="92">
        <f>'MAYOR Y BALANCE'!L19</f>
        <v>70661</v>
      </c>
      <c r="F19" s="93">
        <v>243615</v>
      </c>
      <c r="G19" s="96" t="s">
        <v>269</v>
      </c>
      <c r="H19" s="92">
        <f>+'MAYOR Y BALANCE'!M79</f>
        <v>1718000.4299999997</v>
      </c>
      <c r="I19" s="209"/>
      <c r="L19" s="295"/>
      <c r="M19" s="295"/>
    </row>
    <row r="20" spans="2:13" s="96" customFormat="1" ht="12.75">
      <c r="B20" s="93">
        <v>11100508</v>
      </c>
      <c r="C20" s="91" t="s">
        <v>152</v>
      </c>
      <c r="D20" s="92">
        <f>'MAYOR Y BALANCE'!L20</f>
        <v>1191225</v>
      </c>
      <c r="F20" s="93">
        <v>243625</v>
      </c>
      <c r="G20" s="96" t="s">
        <v>267</v>
      </c>
      <c r="H20" s="92">
        <f>+'MAYOR Y BALANCE'!M80</f>
        <v>1025874.85</v>
      </c>
      <c r="I20" s="209"/>
      <c r="L20" s="295"/>
      <c r="M20" s="295"/>
    </row>
    <row r="21" spans="2:13" s="96" customFormat="1" ht="12.75">
      <c r="B21" s="93">
        <v>11100509</v>
      </c>
      <c r="C21" s="91" t="s">
        <v>153</v>
      </c>
      <c r="D21" s="92">
        <f>'MAYOR Y BALANCE'!L21</f>
        <v>53406</v>
      </c>
      <c r="F21" s="107">
        <v>243626</v>
      </c>
      <c r="G21" s="108" t="s">
        <v>228</v>
      </c>
      <c r="H21" s="92">
        <f>+'MAYOR Y BALANCE'!M81</f>
        <v>248</v>
      </c>
      <c r="I21" s="209"/>
      <c r="L21" s="295"/>
      <c r="M21" s="295"/>
    </row>
    <row r="22" spans="2:13" s="96" customFormat="1" ht="12.75">
      <c r="B22" s="93">
        <v>11100510</v>
      </c>
      <c r="C22" s="91" t="s">
        <v>154</v>
      </c>
      <c r="D22" s="92">
        <f>'MAYOR Y BALANCE'!L22</f>
        <v>54279</v>
      </c>
      <c r="F22" s="93">
        <v>243690</v>
      </c>
      <c r="G22" s="96" t="s">
        <v>268</v>
      </c>
      <c r="H22" s="95">
        <f>+'MAYOR Y BALANCE'!M82</f>
        <v>0</v>
      </c>
      <c r="I22" s="209"/>
      <c r="J22" s="295"/>
      <c r="K22" s="295"/>
      <c r="L22" s="295"/>
      <c r="M22" s="295"/>
    </row>
    <row r="23" spans="2:13" s="96" customFormat="1" ht="12.75">
      <c r="B23" s="93">
        <v>11100511</v>
      </c>
      <c r="C23" s="91" t="s">
        <v>189</v>
      </c>
      <c r="D23" s="92">
        <f>'MAYOR Y BALANCE'!L23</f>
        <v>5233</v>
      </c>
      <c r="F23" s="105">
        <v>2440</v>
      </c>
      <c r="G23" s="106" t="s">
        <v>35</v>
      </c>
      <c r="H23" s="104">
        <f>SUM(H24:H29)</f>
        <v>116463123.48</v>
      </c>
      <c r="J23" s="295"/>
      <c r="K23" s="295"/>
      <c r="L23" s="295"/>
      <c r="M23" s="295"/>
    </row>
    <row r="24" spans="2:13" s="96" customFormat="1" ht="12.75">
      <c r="B24" s="93">
        <v>11100512</v>
      </c>
      <c r="C24" s="91" t="s">
        <v>190</v>
      </c>
      <c r="D24" s="92">
        <f>'MAYOR Y BALANCE'!L24</f>
        <v>21444</v>
      </c>
      <c r="F24" s="107">
        <v>24408001</v>
      </c>
      <c r="G24" s="109" t="s">
        <v>158</v>
      </c>
      <c r="H24" s="92">
        <f>+'MAYOR Y BALANCE'!M84</f>
        <v>53558139.859999999</v>
      </c>
      <c r="J24" s="295"/>
      <c r="K24" s="295"/>
      <c r="L24" s="295"/>
      <c r="M24" s="295"/>
    </row>
    <row r="25" spans="2:13" s="96" customFormat="1" ht="12.75">
      <c r="B25" s="93">
        <v>11100513</v>
      </c>
      <c r="C25" s="91" t="s">
        <v>191</v>
      </c>
      <c r="D25" s="92">
        <f>'MAYOR Y BALANCE'!L25</f>
        <v>18972</v>
      </c>
      <c r="F25" s="107">
        <v>24408002</v>
      </c>
      <c r="G25" s="109" t="s">
        <v>157</v>
      </c>
      <c r="H25" s="92">
        <f>+'MAYOR Y BALANCE'!M85</f>
        <v>51074507.219999999</v>
      </c>
      <c r="J25" s="295"/>
      <c r="K25" s="295"/>
      <c r="L25" s="295"/>
      <c r="M25" s="295"/>
    </row>
    <row r="26" spans="2:13" s="96" customFormat="1" ht="12.75">
      <c r="B26" s="93">
        <v>11100514</v>
      </c>
      <c r="C26" s="91" t="s">
        <v>201</v>
      </c>
      <c r="D26" s="92">
        <f>'MAYOR Y BALANCE'!L26</f>
        <v>13096478</v>
      </c>
      <c r="F26" s="107">
        <v>24408003</v>
      </c>
      <c r="G26" s="109" t="s">
        <v>229</v>
      </c>
      <c r="H26" s="92">
        <f>+'MAYOR Y BALANCE'!M86</f>
        <v>4205780.4800000004</v>
      </c>
      <c r="J26" s="295"/>
      <c r="K26" s="295"/>
      <c r="L26" s="295"/>
      <c r="M26" s="295"/>
    </row>
    <row r="27" spans="2:13" s="96" customFormat="1" ht="12.75">
      <c r="B27" s="93">
        <v>11100515</v>
      </c>
      <c r="C27" s="91" t="s">
        <v>213</v>
      </c>
      <c r="D27" s="92">
        <f>'MAYOR Y BALANCE'!L27</f>
        <v>1706</v>
      </c>
      <c r="F27" s="107">
        <v>24408004</v>
      </c>
      <c r="G27" s="109" t="s">
        <v>200</v>
      </c>
      <c r="H27" s="92">
        <f>+'MAYOR Y BALANCE'!M87</f>
        <v>4684335.92</v>
      </c>
      <c r="J27" s="295"/>
      <c r="K27" s="295"/>
      <c r="L27" s="295"/>
      <c r="M27" s="295"/>
    </row>
    <row r="28" spans="2:13" s="96" customFormat="1" ht="12.75">
      <c r="B28" s="93">
        <v>11100516</v>
      </c>
      <c r="C28" s="91" t="s">
        <v>207</v>
      </c>
      <c r="D28" s="92">
        <f>'MAYOR Y BALANCE'!L28</f>
        <v>280896</v>
      </c>
      <c r="F28" s="107">
        <v>24408005</v>
      </c>
      <c r="G28" s="109" t="s">
        <v>198</v>
      </c>
      <c r="H28" s="92">
        <f>+'MAYOR Y BALANCE'!M88</f>
        <v>2896349</v>
      </c>
      <c r="J28" s="295"/>
      <c r="K28" s="295"/>
      <c r="L28" s="295"/>
      <c r="M28" s="295"/>
    </row>
    <row r="29" spans="2:13" s="96" customFormat="1" ht="12.75">
      <c r="B29" s="93">
        <v>11100517</v>
      </c>
      <c r="C29" s="91" t="s">
        <v>212</v>
      </c>
      <c r="D29" s="92">
        <f>'MAYOR Y BALANCE'!L29</f>
        <v>1559585158.1800003</v>
      </c>
      <c r="F29" s="107">
        <v>24408006</v>
      </c>
      <c r="G29" s="109" t="s">
        <v>340</v>
      </c>
      <c r="H29" s="92">
        <f>+'MAYOR Y BALANCE'!M89</f>
        <v>44011</v>
      </c>
      <c r="J29" s="295"/>
      <c r="K29" s="295"/>
      <c r="L29" s="295"/>
      <c r="M29" s="295"/>
    </row>
    <row r="30" spans="2:13" s="96" customFormat="1" ht="12.75">
      <c r="B30" s="93"/>
      <c r="C30" s="91"/>
      <c r="D30" s="92"/>
      <c r="F30" s="102">
        <v>2490</v>
      </c>
      <c r="G30" s="103" t="s">
        <v>264</v>
      </c>
      <c r="H30" s="206">
        <f>SUM(H31:H35)</f>
        <v>79957036</v>
      </c>
      <c r="J30" s="295"/>
      <c r="K30" s="295"/>
      <c r="L30" s="295"/>
      <c r="M30" s="295"/>
    </row>
    <row r="31" spans="2:13" s="96" customFormat="1" ht="12.75">
      <c r="B31" s="97">
        <v>13</v>
      </c>
      <c r="C31" s="103" t="s">
        <v>247</v>
      </c>
      <c r="D31" s="90">
        <f>D32</f>
        <v>6917650505</v>
      </c>
      <c r="F31" s="93">
        <v>249027</v>
      </c>
      <c r="G31" s="96" t="s">
        <v>15</v>
      </c>
      <c r="H31" s="207">
        <f>+'MAYOR Y BALANCE'!M95</f>
        <v>0</v>
      </c>
      <c r="J31" s="295"/>
      <c r="K31" s="295"/>
      <c r="L31" s="295"/>
      <c r="M31" s="295"/>
    </row>
    <row r="32" spans="2:13" s="96" customFormat="1" ht="12.75">
      <c r="B32" s="97">
        <v>1384</v>
      </c>
      <c r="C32" s="103" t="s">
        <v>236</v>
      </c>
      <c r="D32" s="104">
        <f>D33</f>
        <v>6917650505</v>
      </c>
      <c r="F32" s="93">
        <v>249028</v>
      </c>
      <c r="G32" s="96" t="s">
        <v>121</v>
      </c>
      <c r="H32" s="207">
        <f>+'MAYOR Y BALANCE'!M96</f>
        <v>0</v>
      </c>
      <c r="L32" s="295"/>
      <c r="M32" s="295"/>
    </row>
    <row r="33" spans="2:13" s="96" customFormat="1" ht="12.75">
      <c r="B33" s="100">
        <v>138490</v>
      </c>
      <c r="C33" s="91" t="s">
        <v>235</v>
      </c>
      <c r="D33" s="92">
        <f>'MAYOR Y BALANCE'!L33</f>
        <v>6917650505</v>
      </c>
      <c r="F33" s="93">
        <v>249050</v>
      </c>
      <c r="G33" s="96" t="s">
        <v>280</v>
      </c>
      <c r="H33" s="207">
        <f>+'MAYOR Y BALANCE'!M97</f>
        <v>0</v>
      </c>
      <c r="L33" s="295"/>
      <c r="M33" s="295"/>
    </row>
    <row r="34" spans="2:13" s="96" customFormat="1" ht="12.75">
      <c r="B34" s="100"/>
      <c r="D34" s="92"/>
      <c r="F34" s="93">
        <v>249054</v>
      </c>
      <c r="G34" s="96" t="s">
        <v>23</v>
      </c>
      <c r="H34" s="207">
        <f>+'MAYOR Y BALANCE'!M99</f>
        <v>62026662</v>
      </c>
      <c r="L34" s="295"/>
      <c r="M34" s="295"/>
    </row>
    <row r="35" spans="2:13" s="96" customFormat="1" thickBot="1">
      <c r="B35" s="98">
        <v>16</v>
      </c>
      <c r="C35" s="99" t="s">
        <v>179</v>
      </c>
      <c r="D35" s="136">
        <f>D36+D39+D42+D44</f>
        <v>143378373.65000001</v>
      </c>
      <c r="F35" s="93">
        <v>249090</v>
      </c>
      <c r="G35" s="96" t="s">
        <v>252</v>
      </c>
      <c r="H35" s="207">
        <v>17930374</v>
      </c>
      <c r="L35" s="295"/>
      <c r="M35" s="295"/>
    </row>
    <row r="36" spans="2:13" s="96" customFormat="1" thickTop="1">
      <c r="B36" s="97">
        <v>1665</v>
      </c>
      <c r="C36" s="89" t="s">
        <v>38</v>
      </c>
      <c r="D36" s="104">
        <f>D37+D38</f>
        <v>183715759</v>
      </c>
      <c r="F36" s="105">
        <v>25</v>
      </c>
      <c r="G36" s="106" t="s">
        <v>273</v>
      </c>
      <c r="H36" s="104">
        <f>+H37</f>
        <v>0</v>
      </c>
      <c r="L36" s="295"/>
      <c r="M36" s="295"/>
    </row>
    <row r="37" spans="2:13" s="96" customFormat="1" ht="12.75">
      <c r="B37" s="100">
        <v>166501</v>
      </c>
      <c r="C37" s="91" t="s">
        <v>39</v>
      </c>
      <c r="D37" s="101">
        <f>'MAYOR Y BALANCE'!L38</f>
        <v>132116759</v>
      </c>
      <c r="F37" s="105">
        <v>2511</v>
      </c>
      <c r="G37" s="106" t="s">
        <v>274</v>
      </c>
      <c r="H37" s="104">
        <f>SUM(H38:H44)</f>
        <v>0</v>
      </c>
      <c r="L37" s="295"/>
      <c r="M37" s="295"/>
    </row>
    <row r="38" spans="2:13" s="96" customFormat="1" ht="12.75">
      <c r="B38" s="100">
        <v>166502</v>
      </c>
      <c r="C38" s="91" t="s">
        <v>40</v>
      </c>
      <c r="D38" s="101">
        <f>'MAYOR Y BALANCE'!L39</f>
        <v>51599000</v>
      </c>
      <c r="F38" s="107">
        <v>251102</v>
      </c>
      <c r="G38" s="108" t="s">
        <v>150</v>
      </c>
      <c r="H38" s="92">
        <f>+'MAYOR Y BALANCE'!M105</f>
        <v>0</v>
      </c>
      <c r="L38" s="295"/>
      <c r="M38" s="295"/>
    </row>
    <row r="39" spans="2:13" s="96" customFormat="1" ht="12.75">
      <c r="B39" s="97">
        <v>1670</v>
      </c>
      <c r="C39" s="89" t="s">
        <v>41</v>
      </c>
      <c r="D39" s="90">
        <f>SUM(D40:D41)</f>
        <v>106929487</v>
      </c>
      <c r="F39" s="107">
        <v>251103</v>
      </c>
      <c r="G39" s="108" t="s">
        <v>260</v>
      </c>
      <c r="H39" s="92">
        <f>+'MAYOR Y BALANCE'!M106</f>
        <v>0</v>
      </c>
      <c r="L39" s="295"/>
      <c r="M39" s="295"/>
    </row>
    <row r="40" spans="2:13" s="96" customFormat="1" ht="12.75">
      <c r="B40" s="96">
        <v>167001</v>
      </c>
      <c r="C40" s="96" t="s">
        <v>301</v>
      </c>
      <c r="D40" s="101">
        <f>+'MAYOR Y BALANCE'!L41</f>
        <v>13080002</v>
      </c>
      <c r="F40" s="107">
        <v>251104</v>
      </c>
      <c r="G40" s="96" t="s">
        <v>79</v>
      </c>
      <c r="H40" s="92">
        <f>+'MAYOR Y BALANCE'!M107</f>
        <v>0</v>
      </c>
      <c r="L40" s="295"/>
      <c r="M40" s="295"/>
    </row>
    <row r="41" spans="2:13" s="96" customFormat="1" ht="12.75">
      <c r="B41" s="100">
        <v>167002</v>
      </c>
      <c r="C41" s="91" t="s">
        <v>241</v>
      </c>
      <c r="D41" s="101">
        <f>'MAYOR Y BALANCE'!L42</f>
        <v>93849485</v>
      </c>
      <c r="F41" s="107">
        <v>251105</v>
      </c>
      <c r="G41" s="96" t="s">
        <v>282</v>
      </c>
      <c r="H41" s="92">
        <f>+'MAYOR Y BALANCE'!M108</f>
        <v>0</v>
      </c>
      <c r="L41" s="295"/>
      <c r="M41" s="295"/>
    </row>
    <row r="42" spans="2:13" s="96" customFormat="1" ht="12.75">
      <c r="B42" s="97">
        <v>1675</v>
      </c>
      <c r="C42" s="89" t="s">
        <v>42</v>
      </c>
      <c r="D42" s="90">
        <f>D43</f>
        <v>78140000</v>
      </c>
      <c r="F42" s="107">
        <v>251109</v>
      </c>
      <c r="G42" s="96" t="s">
        <v>214</v>
      </c>
      <c r="H42" s="92">
        <f>+'MAYOR Y BALANCE'!M112</f>
        <v>0</v>
      </c>
      <c r="L42" s="295"/>
      <c r="M42" s="295"/>
    </row>
    <row r="43" spans="2:13" s="96" customFormat="1" ht="12.75">
      <c r="B43" s="100">
        <v>167502</v>
      </c>
      <c r="C43" s="91" t="s">
        <v>43</v>
      </c>
      <c r="D43" s="101">
        <f>'MAYOR Y BALANCE'!L44</f>
        <v>78140000</v>
      </c>
      <c r="F43" s="93">
        <v>251123</v>
      </c>
      <c r="G43" s="96" t="s">
        <v>19</v>
      </c>
      <c r="H43" s="92">
        <f>+'MAYOR Y BALANCE'!M115</f>
        <v>0</v>
      </c>
      <c r="L43" s="295"/>
      <c r="M43" s="295"/>
    </row>
    <row r="44" spans="2:13" s="96" customFormat="1" ht="12.75">
      <c r="B44" s="97">
        <v>1685</v>
      </c>
      <c r="C44" s="89" t="s">
        <v>45</v>
      </c>
      <c r="D44" s="104">
        <f>SUM(D45:D48)</f>
        <v>-225406872.34999999</v>
      </c>
      <c r="F44" s="93">
        <v>251124</v>
      </c>
      <c r="G44" s="96" t="s">
        <v>21</v>
      </c>
      <c r="H44" s="92">
        <f>+'MAYOR Y BALANCE'!M116</f>
        <v>0</v>
      </c>
      <c r="L44" s="295"/>
      <c r="M44" s="295"/>
    </row>
    <row r="45" spans="2:13" s="96" customFormat="1" ht="15.75" thickBot="1">
      <c r="B45" s="100">
        <v>168504</v>
      </c>
      <c r="C45" s="91" t="s">
        <v>40</v>
      </c>
      <c r="D45" s="101">
        <f>'MAYOR Y BALANCE'!L46</f>
        <v>-36119300</v>
      </c>
      <c r="F45" s="137"/>
      <c r="G45" s="121" t="s">
        <v>181</v>
      </c>
      <c r="H45" s="119">
        <f>H6</f>
        <v>202852521.60000002</v>
      </c>
      <c r="L45" s="295"/>
      <c r="M45" s="295"/>
    </row>
    <row r="46" spans="2:13" s="96" customFormat="1" thickBot="1">
      <c r="B46" s="202">
        <v>168506</v>
      </c>
      <c r="C46" s="203" t="s">
        <v>38</v>
      </c>
      <c r="D46" s="204">
        <f>'MAYOR Y BALANCE'!L47</f>
        <v>-83665448.75</v>
      </c>
      <c r="L46" s="295"/>
      <c r="M46" s="295"/>
    </row>
    <row r="47" spans="2:13" s="96" customFormat="1" ht="12.75">
      <c r="B47" s="100">
        <v>168507</v>
      </c>
      <c r="C47" s="91" t="s">
        <v>41</v>
      </c>
      <c r="D47" s="101">
        <f>'MAYOR Y BALANCE'!L48</f>
        <v>-54831123.600000001</v>
      </c>
      <c r="F47" s="500">
        <v>3</v>
      </c>
      <c r="G47" s="501" t="s">
        <v>47</v>
      </c>
      <c r="H47" s="502">
        <f>+H48</f>
        <v>10576294458</v>
      </c>
      <c r="J47" s="295"/>
      <c r="K47" s="295"/>
      <c r="L47" s="295"/>
      <c r="M47" s="295"/>
    </row>
    <row r="48" spans="2:13" s="96" customFormat="1" ht="12.75">
      <c r="B48" s="107">
        <v>168508</v>
      </c>
      <c r="C48" s="108" t="s">
        <v>46</v>
      </c>
      <c r="D48" s="101">
        <f>'MAYOR Y BALANCE'!L49</f>
        <v>-50791000</v>
      </c>
      <c r="F48" s="110">
        <v>32</v>
      </c>
      <c r="G48" s="111" t="s">
        <v>275</v>
      </c>
      <c r="H48" s="112">
        <f>+H49+H53+H57</f>
        <v>10576294458</v>
      </c>
      <c r="J48" s="295"/>
      <c r="K48" s="295"/>
      <c r="L48" s="295"/>
      <c r="M48" s="295"/>
    </row>
    <row r="49" spans="2:13" s="96" customFormat="1" thickBot="1">
      <c r="B49" s="98">
        <v>19</v>
      </c>
      <c r="C49" s="99" t="s">
        <v>246</v>
      </c>
      <c r="D49" s="136">
        <f>D50+D53</f>
        <v>2129655253.5611112</v>
      </c>
      <c r="F49" s="105">
        <v>3204</v>
      </c>
      <c r="G49" s="106" t="s">
        <v>49</v>
      </c>
      <c r="H49" s="112">
        <f>'MAYOR Y BALANCE'!M123</f>
        <v>132494500</v>
      </c>
      <c r="J49" s="295"/>
      <c r="K49" s="295"/>
      <c r="L49" s="295"/>
      <c r="M49" s="295"/>
    </row>
    <row r="50" spans="2:13" s="96" customFormat="1" thickTop="1">
      <c r="B50" s="97">
        <v>1905</v>
      </c>
      <c r="C50" s="89" t="s">
        <v>176</v>
      </c>
      <c r="D50" s="90">
        <f>D52+D51</f>
        <v>2437681.111111111</v>
      </c>
      <c r="F50" s="107">
        <v>320401</v>
      </c>
      <c r="G50" s="108" t="s">
        <v>51</v>
      </c>
      <c r="H50" s="118">
        <f>'MAYOR Y BALANCE'!M124</f>
        <v>150000000</v>
      </c>
      <c r="J50" s="295"/>
      <c r="K50" s="295"/>
      <c r="L50" s="295"/>
      <c r="M50" s="295"/>
    </row>
    <row r="51" spans="2:13" s="96" customFormat="1" ht="12.75">
      <c r="B51" s="100">
        <v>190501</v>
      </c>
      <c r="C51" s="91" t="s">
        <v>231</v>
      </c>
      <c r="D51" s="101">
        <f>'MAYOR Y BALANCE'!L52</f>
        <v>1350181.111111111</v>
      </c>
      <c r="F51" s="107">
        <v>320402</v>
      </c>
      <c r="G51" s="108" t="s">
        <v>53</v>
      </c>
      <c r="H51" s="118">
        <f>'MAYOR Y BALANCE'!M125</f>
        <v>-10500000</v>
      </c>
      <c r="L51" s="295"/>
      <c r="M51" s="295"/>
    </row>
    <row r="52" spans="2:13" s="96" customFormat="1" ht="12.75">
      <c r="B52" s="100">
        <v>190504</v>
      </c>
      <c r="C52" s="91" t="s">
        <v>227</v>
      </c>
      <c r="D52" s="92">
        <f>'MAYOR Y BALANCE'!L53</f>
        <v>1087500</v>
      </c>
      <c r="F52" s="93">
        <v>320402</v>
      </c>
      <c r="G52" s="96" t="s">
        <v>54</v>
      </c>
      <c r="H52" s="118">
        <f>'MAYOR Y BALANCE'!M126</f>
        <v>-7005500</v>
      </c>
      <c r="L52" s="295"/>
      <c r="M52" s="295"/>
    </row>
    <row r="53" spans="2:13" s="96" customFormat="1" ht="12.75">
      <c r="B53" s="97">
        <v>1906</v>
      </c>
      <c r="C53" s="89" t="s">
        <v>249</v>
      </c>
      <c r="D53" s="90">
        <f>SUM(D54:D57)</f>
        <v>2127217572.45</v>
      </c>
      <c r="F53" s="105">
        <v>3225</v>
      </c>
      <c r="G53" s="106" t="s">
        <v>276</v>
      </c>
      <c r="H53" s="104">
        <f>+H54</f>
        <v>11504642453</v>
      </c>
      <c r="L53" s="295"/>
      <c r="M53" s="295"/>
    </row>
    <row r="54" spans="2:13" s="96" customFormat="1" ht="12.75">
      <c r="B54" s="100">
        <v>190601</v>
      </c>
      <c r="C54" s="91" t="s">
        <v>29</v>
      </c>
      <c r="D54" s="92">
        <f>'MAYOR Y BALANCE'!L57</f>
        <v>1932741345</v>
      </c>
      <c r="F54" s="107">
        <v>322501</v>
      </c>
      <c r="G54" s="108" t="s">
        <v>277</v>
      </c>
      <c r="H54" s="113">
        <v>11504642453</v>
      </c>
      <c r="L54" s="295"/>
      <c r="M54" s="295"/>
    </row>
    <row r="55" spans="2:13" s="96" customFormat="1" ht="12.75">
      <c r="B55" s="100">
        <v>190603</v>
      </c>
      <c r="C55" s="91" t="s">
        <v>27</v>
      </c>
      <c r="D55" s="92">
        <f>'MAYOR Y BALANCE'!L55</f>
        <v>0.45000000018626451</v>
      </c>
      <c r="F55" s="93"/>
      <c r="H55" s="95"/>
      <c r="L55" s="295"/>
      <c r="M55" s="295"/>
    </row>
    <row r="56" spans="2:13" s="96" customFormat="1" ht="12.75">
      <c r="B56" s="100">
        <v>190604</v>
      </c>
      <c r="C56" s="91" t="s">
        <v>28</v>
      </c>
      <c r="D56" s="92">
        <f>'MAYOR Y BALANCE'!L56</f>
        <v>172852000</v>
      </c>
      <c r="F56" s="105">
        <v>3230</v>
      </c>
      <c r="G56" s="106" t="s">
        <v>55</v>
      </c>
      <c r="H56" s="114">
        <f>+H57</f>
        <v>-1060842495</v>
      </c>
      <c r="L56" s="295"/>
      <c r="M56" s="295"/>
    </row>
    <row r="57" spans="2:13" s="96" customFormat="1" ht="12.75">
      <c r="B57" s="100">
        <v>190690</v>
      </c>
      <c r="C57" s="109" t="s">
        <v>242</v>
      </c>
      <c r="D57" s="92">
        <f>'MAYOR Y BALANCE'!L58</f>
        <v>21624227</v>
      </c>
      <c r="F57" s="107">
        <v>323001</v>
      </c>
      <c r="G57" s="108" t="s">
        <v>278</v>
      </c>
      <c r="H57" s="113">
        <f>'ESTADO RESULTADO'!D105</f>
        <v>-1060842495</v>
      </c>
      <c r="L57" s="295"/>
      <c r="M57" s="295"/>
    </row>
    <row r="58" spans="2:13" s="96" customFormat="1" ht="12.75">
      <c r="B58" s="100"/>
      <c r="D58" s="92"/>
      <c r="F58" s="105"/>
      <c r="G58" s="106"/>
      <c r="H58" s="114"/>
      <c r="I58" s="530"/>
      <c r="L58" s="295"/>
      <c r="M58" s="295"/>
    </row>
    <row r="59" spans="2:13" s="120" customFormat="1" ht="17.25" thickBot="1">
      <c r="B59" s="546" t="s">
        <v>58</v>
      </c>
      <c r="C59" s="547"/>
      <c r="D59" s="119">
        <f>+D6</f>
        <v>10779146980.391111</v>
      </c>
      <c r="F59" s="546" t="s">
        <v>59</v>
      </c>
      <c r="G59" s="547"/>
      <c r="H59" s="119">
        <f>H47+H6</f>
        <v>10779146979.6</v>
      </c>
      <c r="L59" s="296"/>
      <c r="M59" s="296"/>
    </row>
    <row r="60" spans="2:13">
      <c r="B60" s="93"/>
      <c r="C60" s="73"/>
      <c r="D60" s="73"/>
      <c r="F60" s="73"/>
      <c r="G60" s="73"/>
      <c r="H60" s="44"/>
      <c r="I60" s="180">
        <f>+D59-H59</f>
        <v>0.79111099243164063</v>
      </c>
    </row>
    <row r="61" spans="2:13">
      <c r="B61" s="6"/>
      <c r="D61" s="180"/>
      <c r="F61" s="180"/>
      <c r="H61" s="44"/>
    </row>
    <row r="62" spans="2:13">
      <c r="B62" s="6"/>
      <c r="D62" s="180"/>
      <c r="H62" s="44"/>
    </row>
    <row r="63" spans="2:13">
      <c r="B63" s="6"/>
      <c r="F63" s="20"/>
      <c r="H63" s="21"/>
    </row>
    <row r="64" spans="2:13" s="73" customFormat="1">
      <c r="B64" s="531" t="s">
        <v>257</v>
      </c>
      <c r="C64" s="532"/>
      <c r="D64" s="1"/>
      <c r="E64" s="182" t="s">
        <v>333</v>
      </c>
      <c r="F64" s="1"/>
      <c r="G64" s="185" t="s">
        <v>224</v>
      </c>
      <c r="H64" s="186"/>
      <c r="J64" s="297"/>
      <c r="K64" s="297"/>
      <c r="L64" s="297"/>
      <c r="M64" s="297"/>
    </row>
    <row r="65" spans="2:13" s="73" customFormat="1">
      <c r="B65" s="531" t="s">
        <v>244</v>
      </c>
      <c r="C65" s="532"/>
      <c r="D65" s="1"/>
      <c r="E65" s="185" t="s">
        <v>345</v>
      </c>
      <c r="F65" s="1"/>
      <c r="G65" s="185" t="s">
        <v>245</v>
      </c>
      <c r="H65" s="186"/>
      <c r="J65" s="297"/>
      <c r="K65" s="297"/>
      <c r="L65" s="297"/>
      <c r="M65" s="297"/>
    </row>
    <row r="66" spans="2:13" s="73" customFormat="1">
      <c r="B66" s="535" t="s">
        <v>258</v>
      </c>
      <c r="C66" s="536"/>
      <c r="D66" s="1"/>
      <c r="E66" s="185" t="s">
        <v>61</v>
      </c>
      <c r="F66" s="1"/>
      <c r="G66" s="185" t="s">
        <v>223</v>
      </c>
      <c r="H66" s="186"/>
      <c r="J66" s="297"/>
      <c r="K66" s="297"/>
      <c r="L66" s="297"/>
      <c r="M66" s="297"/>
    </row>
    <row r="67" spans="2:13">
      <c r="B67" s="9"/>
      <c r="C67" s="10"/>
      <c r="E67" s="196"/>
      <c r="H67" s="8"/>
    </row>
    <row r="68" spans="2:13">
      <c r="B68" s="9"/>
      <c r="C68" s="10"/>
      <c r="H68" s="8"/>
    </row>
    <row r="69" spans="2:13">
      <c r="B69" s="533" t="s">
        <v>204</v>
      </c>
      <c r="C69" s="534"/>
      <c r="H69" s="8"/>
    </row>
    <row r="70" spans="2:13" ht="14.25" thickBot="1">
      <c r="B70" s="201"/>
      <c r="C70" s="46"/>
      <c r="D70" s="46"/>
      <c r="E70" s="46"/>
      <c r="F70" s="46"/>
      <c r="G70" s="46"/>
      <c r="H70" s="22"/>
    </row>
  </sheetData>
  <sortState xmlns:xlrd2="http://schemas.microsoft.com/office/spreadsheetml/2017/richdata2" ref="B54:D56">
    <sortCondition ref="B54"/>
  </sortState>
  <mergeCells count="15">
    <mergeCell ref="B65:C65"/>
    <mergeCell ref="B64:C64"/>
    <mergeCell ref="B69:C69"/>
    <mergeCell ref="B66:C66"/>
    <mergeCell ref="B1:H1"/>
    <mergeCell ref="B2:H2"/>
    <mergeCell ref="B3:H3"/>
    <mergeCell ref="B4:H4"/>
    <mergeCell ref="B5:H5"/>
    <mergeCell ref="F59:G59"/>
    <mergeCell ref="F7:G7"/>
    <mergeCell ref="F6:G6"/>
    <mergeCell ref="B7:C7"/>
    <mergeCell ref="B59:C59"/>
    <mergeCell ref="B6:C6"/>
  </mergeCells>
  <pageMargins left="1.5748031496063" right="0.511811023622047" top="0.78740157480314998" bottom="0.78740157480314998" header="0.31496062992126" footer="0.23622047244094499"/>
  <pageSetup paperSize="5" scale="85" orientation="landscape" r:id="rId1"/>
  <headerFooter>
    <oddFooter>&amp;L&amp;12&amp;K0070C0&amp;A&amp;11&amp;K01+000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0"/>
  <sheetViews>
    <sheetView topLeftCell="A50" workbookViewId="0">
      <selection activeCell="K77" sqref="K77"/>
    </sheetView>
  </sheetViews>
  <sheetFormatPr baseColWidth="10" defaultRowHeight="15"/>
  <cols>
    <col min="1" max="1" width="2" customWidth="1"/>
    <col min="2" max="2" width="6.5703125" customWidth="1"/>
    <col min="3" max="3" width="21" customWidth="1"/>
    <col min="4" max="5" width="11.42578125" customWidth="1"/>
    <col min="6" max="6" width="11" customWidth="1"/>
    <col min="7" max="7" width="5.42578125" customWidth="1"/>
    <col min="8" max="8" width="6.7109375" customWidth="1"/>
    <col min="9" max="9" width="24.7109375" customWidth="1"/>
    <col min="10" max="10" width="12.28515625" customWidth="1"/>
    <col min="11" max="11" width="12.5703125" customWidth="1"/>
    <col min="12" max="12" width="10.140625" customWidth="1"/>
    <col min="13" max="13" width="5.42578125" customWidth="1"/>
  </cols>
  <sheetData>
    <row r="1" spans="2:13">
      <c r="B1" s="554" t="s">
        <v>320</v>
      </c>
      <c r="C1" s="555"/>
      <c r="D1" s="555"/>
      <c r="E1" s="555"/>
      <c r="F1" s="555"/>
      <c r="G1" s="555"/>
      <c r="H1" s="555"/>
      <c r="I1" s="555"/>
      <c r="J1" s="555"/>
      <c r="K1" s="555"/>
      <c r="L1" s="298"/>
      <c r="M1" s="299"/>
    </row>
    <row r="2" spans="2:13">
      <c r="B2" s="556" t="s">
        <v>184</v>
      </c>
      <c r="C2" s="557"/>
      <c r="D2" s="557"/>
      <c r="E2" s="557"/>
      <c r="F2" s="557"/>
      <c r="G2" s="557"/>
      <c r="H2" s="557"/>
      <c r="I2" s="557"/>
      <c r="J2" s="557"/>
      <c r="K2" s="557"/>
      <c r="L2" s="300"/>
      <c r="M2" s="301"/>
    </row>
    <row r="3" spans="2:13">
      <c r="B3" s="556" t="s">
        <v>304</v>
      </c>
      <c r="C3" s="557"/>
      <c r="D3" s="557"/>
      <c r="E3" s="557"/>
      <c r="F3" s="557"/>
      <c r="G3" s="557"/>
      <c r="H3" s="557"/>
      <c r="I3" s="557"/>
      <c r="J3" s="557"/>
      <c r="K3" s="557"/>
      <c r="L3" s="300"/>
      <c r="M3" s="301"/>
    </row>
    <row r="4" spans="2:13" ht="15.75" thickBot="1">
      <c r="B4" s="558" t="s">
        <v>336</v>
      </c>
      <c r="C4" s="559"/>
      <c r="D4" s="559"/>
      <c r="E4" s="559"/>
      <c r="F4" s="559"/>
      <c r="G4" s="559"/>
      <c r="H4" s="559"/>
      <c r="I4" s="559"/>
      <c r="J4" s="559"/>
      <c r="K4" s="559"/>
      <c r="L4" s="302"/>
      <c r="M4" s="303"/>
    </row>
    <row r="5" spans="2:13" ht="15.75" thickBot="1"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304"/>
      <c r="M5" s="305"/>
    </row>
    <row r="6" spans="2:13" ht="15.75" thickBot="1">
      <c r="B6" s="306"/>
      <c r="C6" s="307"/>
      <c r="D6" s="308">
        <v>2021</v>
      </c>
      <c r="E6" s="308">
        <v>2022</v>
      </c>
      <c r="F6" s="309" t="s">
        <v>305</v>
      </c>
      <c r="G6" s="310" t="s">
        <v>306</v>
      </c>
      <c r="H6" s="307"/>
      <c r="I6" s="307"/>
      <c r="J6" s="308">
        <v>2021</v>
      </c>
      <c r="K6" s="308">
        <v>2022</v>
      </c>
      <c r="L6" s="309" t="s">
        <v>305</v>
      </c>
      <c r="M6" s="311" t="s">
        <v>306</v>
      </c>
    </row>
    <row r="7" spans="2:13">
      <c r="B7" s="552" t="s">
        <v>2</v>
      </c>
      <c r="C7" s="553"/>
      <c r="D7" s="312">
        <f>+D8</f>
        <v>11851150744.391111</v>
      </c>
      <c r="E7" s="313">
        <f>+E8</f>
        <v>10779146980.391111</v>
      </c>
      <c r="F7" s="314">
        <f>+F8</f>
        <v>-1072003764</v>
      </c>
      <c r="G7" s="315">
        <f>+G8</f>
        <v>100</v>
      </c>
      <c r="H7" s="552" t="s">
        <v>3</v>
      </c>
      <c r="I7" s="553"/>
      <c r="J7" s="316">
        <f>+J8</f>
        <v>214013791.27000001</v>
      </c>
      <c r="K7" s="317">
        <f>+K8</f>
        <v>202852521.94999999</v>
      </c>
      <c r="L7" s="318">
        <f>+L8</f>
        <v>59789758.680000007</v>
      </c>
      <c r="M7" s="319">
        <f>+M8</f>
        <v>99.921944360714477</v>
      </c>
    </row>
    <row r="8" spans="2:13">
      <c r="B8" s="564" t="s">
        <v>4</v>
      </c>
      <c r="C8" s="565"/>
      <c r="D8" s="320">
        <f>+D10+D50+D32+D36</f>
        <v>11851150744.391111</v>
      </c>
      <c r="E8" s="321">
        <f>+E10+E50+E32+E36</f>
        <v>10779146980.391111</v>
      </c>
      <c r="F8" s="322">
        <f>+F10+F32+F36+F50</f>
        <v>-1072003764</v>
      </c>
      <c r="G8" s="323">
        <f>+G10+G50+G32+G36-1.66</f>
        <v>100</v>
      </c>
      <c r="H8" s="564" t="s">
        <v>5</v>
      </c>
      <c r="I8" s="565"/>
      <c r="J8" s="324">
        <f>+J10+J38+J47</f>
        <v>214013791.27000001</v>
      </c>
      <c r="K8" s="324">
        <f>+K10+K38+K47</f>
        <v>202852521.94999999</v>
      </c>
      <c r="L8" s="325">
        <f>+L10+L38+L47</f>
        <v>59789758.680000007</v>
      </c>
      <c r="M8" s="326">
        <f>+M10+M38+M47</f>
        <v>99.921944360714477</v>
      </c>
    </row>
    <row r="9" spans="2:13">
      <c r="B9" s="327"/>
      <c r="C9" s="328"/>
      <c r="D9" s="329"/>
      <c r="E9" s="330"/>
      <c r="F9" s="331"/>
      <c r="G9" s="332"/>
      <c r="H9" s="333"/>
      <c r="I9" s="334"/>
      <c r="J9" s="335"/>
      <c r="K9" s="336"/>
      <c r="L9" s="337"/>
      <c r="M9" s="338"/>
    </row>
    <row r="10" spans="2:13" ht="15.75" thickBot="1">
      <c r="B10" s="339">
        <v>11</v>
      </c>
      <c r="C10" s="340" t="s">
        <v>322</v>
      </c>
      <c r="D10" s="341">
        <f>D13</f>
        <v>2661935847.1800003</v>
      </c>
      <c r="E10" s="342">
        <f>E13</f>
        <v>1588462848.1800003</v>
      </c>
      <c r="F10" s="343">
        <f>F13</f>
        <v>-1073472999</v>
      </c>
      <c r="G10" s="344">
        <f>G13</f>
        <v>101.79705502250457</v>
      </c>
      <c r="H10" s="339">
        <v>24</v>
      </c>
      <c r="I10" s="340" t="s">
        <v>323</v>
      </c>
      <c r="J10" s="341">
        <f>+J11+J13+J15+J24+J31</f>
        <v>135499963.27000001</v>
      </c>
      <c r="K10" s="342">
        <f>+K11+K13+K15+K24+K31</f>
        <v>202852521.94999999</v>
      </c>
      <c r="L10" s="345">
        <f>+L11+L13+L15+L24+L31</f>
        <v>67352558.680000007</v>
      </c>
      <c r="M10" s="346">
        <f>+M11+M13+M15+M24+M31</f>
        <v>112.57093336312334</v>
      </c>
    </row>
    <row r="11" spans="2:13" ht="15.75" thickTop="1">
      <c r="B11" s="347">
        <v>1105</v>
      </c>
      <c r="C11" s="348" t="s">
        <v>7</v>
      </c>
      <c r="D11" s="349">
        <v>0</v>
      </c>
      <c r="E11" s="350">
        <v>0</v>
      </c>
      <c r="F11" s="350">
        <v>0</v>
      </c>
      <c r="G11" s="350">
        <v>0</v>
      </c>
      <c r="H11" s="347">
        <v>2401</v>
      </c>
      <c r="I11" s="348" t="s">
        <v>8</v>
      </c>
      <c r="J11" s="349">
        <f>+J12</f>
        <v>0</v>
      </c>
      <c r="K11" s="350">
        <f>+K12</f>
        <v>0</v>
      </c>
      <c r="L11" s="351">
        <f>+L12</f>
        <v>0</v>
      </c>
      <c r="M11" s="352">
        <f>+M12</f>
        <v>0</v>
      </c>
    </row>
    <row r="12" spans="2:13">
      <c r="B12" s="353">
        <v>110501</v>
      </c>
      <c r="C12" s="354" t="s">
        <v>9</v>
      </c>
      <c r="D12" s="355">
        <v>0</v>
      </c>
      <c r="E12" s="356">
        <v>0</v>
      </c>
      <c r="F12" s="357">
        <f>+E12-D12</f>
        <v>0</v>
      </c>
      <c r="G12" s="358">
        <f>+F12*100/F63</f>
        <v>0</v>
      </c>
      <c r="H12" s="353">
        <v>240101</v>
      </c>
      <c r="I12" s="354" t="s">
        <v>10</v>
      </c>
      <c r="J12" s="359">
        <f>+'MAYOR Y BALANCE'!C64</f>
        <v>0</v>
      </c>
      <c r="K12" s="359">
        <f>+'MAYOR Y BALANCE'!M64</f>
        <v>0</v>
      </c>
      <c r="L12" s="360">
        <f>+K12-J12</f>
        <v>0</v>
      </c>
      <c r="M12" s="358">
        <f>+L12*100/L50</f>
        <v>0</v>
      </c>
    </row>
    <row r="13" spans="2:13">
      <c r="B13" s="347">
        <v>1110</v>
      </c>
      <c r="C13" s="348" t="s">
        <v>11</v>
      </c>
      <c r="D13" s="361">
        <f>SUM(D14:D30)</f>
        <v>2661935847.1800003</v>
      </c>
      <c r="E13" s="350">
        <f>SUM(E14:E30)</f>
        <v>1588462848.1800003</v>
      </c>
      <c r="F13" s="351">
        <f>SUM(F14:F30)</f>
        <v>-1073472999</v>
      </c>
      <c r="G13" s="362">
        <f>SUM(G14:G30)</f>
        <v>101.79705502250457</v>
      </c>
      <c r="H13" s="363">
        <v>2424</v>
      </c>
      <c r="I13" s="364" t="s">
        <v>266</v>
      </c>
      <c r="J13" s="361">
        <f>+J14</f>
        <v>154377</v>
      </c>
      <c r="K13" s="350">
        <f>+K14</f>
        <v>154377</v>
      </c>
      <c r="L13" s="350">
        <f>+L14</f>
        <v>0</v>
      </c>
      <c r="M13" s="362">
        <f>+M14</f>
        <v>0</v>
      </c>
    </row>
    <row r="14" spans="2:13">
      <c r="B14" s="353">
        <v>11100501</v>
      </c>
      <c r="C14" s="354" t="s">
        <v>12</v>
      </c>
      <c r="D14" s="355">
        <f>+'MAYOR Y BALANCE'!C13</f>
        <v>754230</v>
      </c>
      <c r="E14" s="356">
        <f>+'MAYOR Y BALANCE'!L13</f>
        <v>754230</v>
      </c>
      <c r="F14" s="357">
        <f t="shared" ref="F14:F30" si="0">+E14-D14</f>
        <v>0</v>
      </c>
      <c r="G14" s="358">
        <f>+F14*100/F63</f>
        <v>0</v>
      </c>
      <c r="H14" s="365">
        <v>242411</v>
      </c>
      <c r="I14" s="366" t="s">
        <v>219</v>
      </c>
      <c r="J14" s="367">
        <f>+'MAYOR Y BALANCE'!C69</f>
        <v>154377</v>
      </c>
      <c r="K14" s="367">
        <f>+'MAYOR Y BALANCE'!M69</f>
        <v>154377</v>
      </c>
      <c r="L14" s="360">
        <f>+K14-J14</f>
        <v>0</v>
      </c>
      <c r="M14" s="358">
        <f>+L14*100/L50</f>
        <v>0</v>
      </c>
    </row>
    <row r="15" spans="2:13">
      <c r="B15" s="353">
        <v>11100502</v>
      </c>
      <c r="C15" s="354" t="s">
        <v>14</v>
      </c>
      <c r="D15" s="355">
        <f>+'MAYOR Y BALANCE'!C14</f>
        <v>97790525</v>
      </c>
      <c r="E15" s="356">
        <f>+'MAYOR Y BALANCE'!L14</f>
        <v>3790525</v>
      </c>
      <c r="F15" s="357">
        <f t="shared" si="0"/>
        <v>-94000000</v>
      </c>
      <c r="G15" s="358">
        <f>+F15*100/F63</f>
        <v>8.768625928070902</v>
      </c>
      <c r="H15" s="363">
        <v>2436</v>
      </c>
      <c r="I15" s="364" t="s">
        <v>26</v>
      </c>
      <c r="J15" s="368">
        <f>SUM(J16:J23)</f>
        <v>493792.44000000029</v>
      </c>
      <c r="K15" s="369">
        <f>SUM(K16:K23)</f>
        <v>6277985.1199999992</v>
      </c>
      <c r="L15" s="369">
        <f>SUM(L16:L23)</f>
        <v>5784192.6799999997</v>
      </c>
      <c r="M15" s="370">
        <f>SUM(M16:M23)</f>
        <v>9.6742198123887775</v>
      </c>
    </row>
    <row r="16" spans="2:13">
      <c r="B16" s="353">
        <v>11100503</v>
      </c>
      <c r="C16" s="354" t="s">
        <v>16</v>
      </c>
      <c r="D16" s="355">
        <f>+'MAYOR Y BALANCE'!C15</f>
        <v>3143121</v>
      </c>
      <c r="E16" s="356">
        <f>+'MAYOR Y BALANCE'!L15</f>
        <v>3143121</v>
      </c>
      <c r="F16" s="357">
        <f t="shared" si="0"/>
        <v>0</v>
      </c>
      <c r="G16" s="358">
        <f>+F16*100/F63</f>
        <v>0</v>
      </c>
      <c r="H16" s="365">
        <v>243603</v>
      </c>
      <c r="I16" s="366" t="s">
        <v>23</v>
      </c>
      <c r="J16" s="367">
        <f>+'MAYOR Y BALANCE'!C75</f>
        <v>666.30000000074506</v>
      </c>
      <c r="K16" s="367">
        <f>+'MAYOR Y BALANCE'!M75</f>
        <v>1950252.9800000007</v>
      </c>
      <c r="L16" s="360">
        <f t="shared" ref="L16:L23" si="1">+K16-J16</f>
        <v>1949586.68</v>
      </c>
      <c r="M16" s="358">
        <f>+L16*100/L50</f>
        <v>3.2607368269110393</v>
      </c>
    </row>
    <row r="17" spans="2:13">
      <c r="B17" s="353">
        <v>11100504</v>
      </c>
      <c r="C17" s="354" t="s">
        <v>18</v>
      </c>
      <c r="D17" s="355">
        <f>+'MAYOR Y BALANCE'!C16</f>
        <v>0</v>
      </c>
      <c r="E17" s="356">
        <f>+'MAYOR Y BALANCE'!L16</f>
        <v>0</v>
      </c>
      <c r="F17" s="357">
        <f t="shared" si="0"/>
        <v>0</v>
      </c>
      <c r="G17" s="358">
        <f>+F17*100/F63</f>
        <v>0</v>
      </c>
      <c r="H17" s="365">
        <v>243605</v>
      </c>
      <c r="I17" s="366" t="s">
        <v>24</v>
      </c>
      <c r="J17" s="367">
        <f>+'MAYOR Y BALANCE'!C76</f>
        <v>490874</v>
      </c>
      <c r="K17" s="367">
        <f>+'MAYOR Y BALANCE'!M76</f>
        <v>499950</v>
      </c>
      <c r="L17" s="360">
        <f t="shared" si="1"/>
        <v>9076</v>
      </c>
      <c r="M17" s="358">
        <f>+L17*100/L50</f>
        <v>1.5179857220323537E-2</v>
      </c>
    </row>
    <row r="18" spans="2:13">
      <c r="B18" s="353">
        <v>11100505</v>
      </c>
      <c r="C18" s="354" t="s">
        <v>20</v>
      </c>
      <c r="D18" s="355">
        <f>+'MAYOR Y BALANCE'!C17</f>
        <v>3142309</v>
      </c>
      <c r="E18" s="356">
        <f>+'MAYOR Y BALANCE'!L17</f>
        <v>3142309</v>
      </c>
      <c r="F18" s="357">
        <f t="shared" si="0"/>
        <v>0</v>
      </c>
      <c r="G18" s="358">
        <f>+F18*100/F63</f>
        <v>0</v>
      </c>
      <c r="H18" s="365">
        <v>243606</v>
      </c>
      <c r="I18" s="366" t="s">
        <v>220</v>
      </c>
      <c r="J18" s="367">
        <f>+'MAYOR Y BALANCE'!C77</f>
        <v>0.47999999998137355</v>
      </c>
      <c r="K18" s="367">
        <f>+'MAYOR Y BALANCE'!M77</f>
        <v>0.47999999998137355</v>
      </c>
      <c r="L18" s="360">
        <f t="shared" si="1"/>
        <v>0</v>
      </c>
      <c r="M18" s="358">
        <f>+L18*100/L50</f>
        <v>0</v>
      </c>
    </row>
    <row r="19" spans="2:13">
      <c r="B19" s="353">
        <v>11100506</v>
      </c>
      <c r="C19" s="354" t="s">
        <v>149</v>
      </c>
      <c r="D19" s="355">
        <f>+'MAYOR Y BALANCE'!C18</f>
        <v>4122510</v>
      </c>
      <c r="E19" s="356">
        <f>+'MAYOR Y BALANCE'!L18</f>
        <v>3253205</v>
      </c>
      <c r="F19" s="357">
        <f t="shared" si="0"/>
        <v>-869305</v>
      </c>
      <c r="G19" s="358">
        <f>+F19*100/F63</f>
        <v>8.1091599600017827E-2</v>
      </c>
      <c r="H19" s="365">
        <v>243608</v>
      </c>
      <c r="I19" s="366" t="s">
        <v>33</v>
      </c>
      <c r="J19" s="367">
        <f>+'MAYOR Y BALANCE'!C78</f>
        <v>30.379999999888241</v>
      </c>
      <c r="K19" s="367">
        <f>+'MAYOR Y BALANCE'!M78</f>
        <v>1083658.3799999999</v>
      </c>
      <c r="L19" s="360">
        <f t="shared" si="1"/>
        <v>1083628</v>
      </c>
      <c r="M19" s="358">
        <f>+L19*100/L50</f>
        <v>1.812397346842745</v>
      </c>
    </row>
    <row r="20" spans="2:13">
      <c r="B20" s="353">
        <v>11100507</v>
      </c>
      <c r="C20" s="354" t="s">
        <v>151</v>
      </c>
      <c r="D20" s="355">
        <f>+'MAYOR Y BALANCE'!C19</f>
        <v>70661</v>
      </c>
      <c r="E20" s="356">
        <f>+'MAYOR Y BALANCE'!L19</f>
        <v>70661</v>
      </c>
      <c r="F20" s="357">
        <f t="shared" si="0"/>
        <v>0</v>
      </c>
      <c r="G20" s="358">
        <f>+F20*100/F63</f>
        <v>0</v>
      </c>
      <c r="H20" s="365">
        <v>243615</v>
      </c>
      <c r="I20" s="366" t="s">
        <v>269</v>
      </c>
      <c r="J20" s="367">
        <f>+'MAYOR Y BALANCE'!C79</f>
        <v>0.42999999970197678</v>
      </c>
      <c r="K20" s="367">
        <f>+'MAYOR Y BALANCE'!M79</f>
        <v>1718000.4299999997</v>
      </c>
      <c r="L20" s="360">
        <f t="shared" si="1"/>
        <v>1718000</v>
      </c>
      <c r="M20" s="358">
        <f>+L20*100/L50</f>
        <v>2.8734017964429084</v>
      </c>
    </row>
    <row r="21" spans="2:13">
      <c r="B21" s="365">
        <v>11100508</v>
      </c>
      <c r="C21" s="354" t="s">
        <v>152</v>
      </c>
      <c r="D21" s="355">
        <f>+'MAYOR Y BALANCE'!C20</f>
        <v>1191225</v>
      </c>
      <c r="E21" s="356">
        <f>+'MAYOR Y BALANCE'!L20</f>
        <v>1191225</v>
      </c>
      <c r="F21" s="357">
        <f t="shared" si="0"/>
        <v>0</v>
      </c>
      <c r="G21" s="358">
        <f>+F21*100/F63</f>
        <v>0</v>
      </c>
      <c r="H21" s="365">
        <v>243625</v>
      </c>
      <c r="I21" s="366" t="s">
        <v>267</v>
      </c>
      <c r="J21" s="367">
        <f>+'MAYOR Y BALANCE'!C80</f>
        <v>1972.8500000000004</v>
      </c>
      <c r="K21" s="367">
        <f>+'MAYOR Y BALANCE'!M80</f>
        <v>1025874.85</v>
      </c>
      <c r="L21" s="360">
        <f t="shared" si="1"/>
        <v>1023902</v>
      </c>
      <c r="M21" s="358">
        <f>+L21*100/L50</f>
        <v>1.7125039849717618</v>
      </c>
    </row>
    <row r="22" spans="2:13">
      <c r="B22" s="365">
        <v>11100509</v>
      </c>
      <c r="C22" s="354" t="s">
        <v>153</v>
      </c>
      <c r="D22" s="355">
        <f>+'MAYOR Y BALANCE'!C21</f>
        <v>53406</v>
      </c>
      <c r="E22" s="356">
        <f>+'MAYOR Y BALANCE'!L21</f>
        <v>53406</v>
      </c>
      <c r="F22" s="357">
        <f t="shared" si="0"/>
        <v>0</v>
      </c>
      <c r="G22" s="358">
        <f>+F22*100/F63</f>
        <v>0</v>
      </c>
      <c r="H22" s="371">
        <v>243626</v>
      </c>
      <c r="I22" s="372" t="s">
        <v>228</v>
      </c>
      <c r="J22" s="367">
        <f>+'MAYOR Y BALANCE'!C81</f>
        <v>248</v>
      </c>
      <c r="K22" s="367">
        <f>+'MAYOR Y BALANCE'!M81</f>
        <v>248</v>
      </c>
      <c r="L22" s="360">
        <f t="shared" si="1"/>
        <v>0</v>
      </c>
      <c r="M22" s="358">
        <f>+L22*100/L50</f>
        <v>0</v>
      </c>
    </row>
    <row r="23" spans="2:13">
      <c r="B23" s="365">
        <v>11100510</v>
      </c>
      <c r="C23" s="354" t="s">
        <v>154</v>
      </c>
      <c r="D23" s="355">
        <f>+'MAYOR Y BALANCE'!C22</f>
        <v>54279</v>
      </c>
      <c r="E23" s="356">
        <f>+'MAYOR Y BALANCE'!L22</f>
        <v>54279</v>
      </c>
      <c r="F23" s="357">
        <f t="shared" si="0"/>
        <v>0</v>
      </c>
      <c r="G23" s="358">
        <f>+F23*100/F63</f>
        <v>0</v>
      </c>
      <c r="H23" s="365">
        <v>243690</v>
      </c>
      <c r="I23" s="366" t="s">
        <v>268</v>
      </c>
      <c r="J23" s="367">
        <f>+'MAYOR Y BALANCE'!C82</f>
        <v>0</v>
      </c>
      <c r="K23" s="367">
        <f>+'MAYOR Y BALANCE'!M82</f>
        <v>0</v>
      </c>
      <c r="L23" s="360">
        <f t="shared" si="1"/>
        <v>0</v>
      </c>
      <c r="M23" s="358">
        <f>+L23*100/L50</f>
        <v>0</v>
      </c>
    </row>
    <row r="24" spans="2:13">
      <c r="B24" s="365">
        <v>11100511</v>
      </c>
      <c r="C24" s="354" t="s">
        <v>189</v>
      </c>
      <c r="D24" s="355">
        <f>+'MAYOR Y BALANCE'!C23</f>
        <v>5233</v>
      </c>
      <c r="E24" s="356">
        <f>+'MAYOR Y BALANCE'!L23</f>
        <v>5233</v>
      </c>
      <c r="F24" s="357">
        <f t="shared" si="0"/>
        <v>0</v>
      </c>
      <c r="G24" s="358">
        <f>+F24*100/F63</f>
        <v>0</v>
      </c>
      <c r="H24" s="373">
        <v>2440</v>
      </c>
      <c r="I24" s="374" t="s">
        <v>35</v>
      </c>
      <c r="J24" s="368">
        <f>SUM(J25:J30)</f>
        <v>116149916.48</v>
      </c>
      <c r="K24" s="368">
        <f>SUM(K25:K30)</f>
        <v>116463123.48</v>
      </c>
      <c r="L24" s="368">
        <f>SUM(L25:L30)</f>
        <v>313207</v>
      </c>
      <c r="M24" s="376">
        <f>SUM(M25:M30)</f>
        <v>0.44579159963097131</v>
      </c>
    </row>
    <row r="25" spans="2:13">
      <c r="B25" s="365">
        <v>11100512</v>
      </c>
      <c r="C25" s="354" t="s">
        <v>190</v>
      </c>
      <c r="D25" s="355">
        <f>+'MAYOR Y BALANCE'!C24</f>
        <v>21444</v>
      </c>
      <c r="E25" s="356">
        <f>+'MAYOR Y BALANCE'!L24</f>
        <v>21444</v>
      </c>
      <c r="F25" s="357">
        <f t="shared" si="0"/>
        <v>0</v>
      </c>
      <c r="G25" s="358">
        <f>+F25*100/F63</f>
        <v>0</v>
      </c>
      <c r="H25" s="371">
        <v>24408001</v>
      </c>
      <c r="I25" s="377" t="s">
        <v>158</v>
      </c>
      <c r="J25" s="367">
        <f>+'MAYOR Y BALANCE'!C84</f>
        <v>53618028.859999999</v>
      </c>
      <c r="K25" s="367">
        <f>+'MAYOR Y BALANCE'!M84</f>
        <v>53558139.859999999</v>
      </c>
      <c r="L25" s="360">
        <f t="shared" ref="L25:L29" si="2">+K25-J25</f>
        <v>-59889</v>
      </c>
      <c r="M25" s="358">
        <f>+L25*100/L50</f>
        <v>-0.10016598381092512</v>
      </c>
    </row>
    <row r="26" spans="2:13">
      <c r="B26" s="365">
        <v>11100513</v>
      </c>
      <c r="C26" s="354" t="s">
        <v>191</v>
      </c>
      <c r="D26" s="355">
        <f>+'MAYOR Y BALANCE'!C25</f>
        <v>18972</v>
      </c>
      <c r="E26" s="356">
        <f>+'MAYOR Y BALANCE'!L25</f>
        <v>18972</v>
      </c>
      <c r="F26" s="357">
        <f t="shared" si="0"/>
        <v>0</v>
      </c>
      <c r="G26" s="358">
        <f>+F26*100/F63</f>
        <v>0</v>
      </c>
      <c r="H26" s="371">
        <v>24408002</v>
      </c>
      <c r="I26" s="377" t="s">
        <v>157</v>
      </c>
      <c r="J26" s="367">
        <f>+'MAYOR Y BALANCE'!C85</f>
        <v>50648754.219999999</v>
      </c>
      <c r="K26" s="367">
        <f>+'MAYOR Y BALANCE'!M85</f>
        <v>51074507.219999999</v>
      </c>
      <c r="L26" s="360">
        <f t="shared" si="2"/>
        <v>425753</v>
      </c>
      <c r="M26" s="358">
        <f>+L26*100/L50</f>
        <v>0.7120834895465411</v>
      </c>
    </row>
    <row r="27" spans="2:13">
      <c r="B27" s="365">
        <v>11100514</v>
      </c>
      <c r="C27" s="354" t="s">
        <v>201</v>
      </c>
      <c r="D27" s="355">
        <f>+'MAYOR Y BALANCE'!C26</f>
        <v>13096478</v>
      </c>
      <c r="E27" s="356">
        <f>+'MAYOR Y BALANCE'!L26</f>
        <v>13096478</v>
      </c>
      <c r="F27" s="357">
        <f t="shared" si="0"/>
        <v>0</v>
      </c>
      <c r="G27" s="358">
        <f>+F27*100/F63</f>
        <v>0</v>
      </c>
      <c r="H27" s="371">
        <v>24408003</v>
      </c>
      <c r="I27" s="377" t="s">
        <v>229</v>
      </c>
      <c r="J27" s="367">
        <f>+'MAYOR Y BALANCE'!C86</f>
        <v>4437900.4800000004</v>
      </c>
      <c r="K27" s="367">
        <f>+'MAYOR Y BALANCE'!M86</f>
        <v>4205780.4800000004</v>
      </c>
      <c r="L27" s="360">
        <f t="shared" si="2"/>
        <v>-232120</v>
      </c>
      <c r="M27" s="358">
        <f>+L27*100/L50</f>
        <v>-0.38822702269518505</v>
      </c>
    </row>
    <row r="28" spans="2:13">
      <c r="B28" s="365">
        <v>11100515</v>
      </c>
      <c r="C28" s="354" t="s">
        <v>213</v>
      </c>
      <c r="D28" s="355">
        <f>+'MAYOR Y BALANCE'!C27</f>
        <v>1706</v>
      </c>
      <c r="E28" s="356">
        <f>+'MAYOR Y BALANCE'!L27</f>
        <v>1706</v>
      </c>
      <c r="F28" s="357">
        <f t="shared" si="0"/>
        <v>0</v>
      </c>
      <c r="G28" s="358">
        <f>+F28*100/F63</f>
        <v>0</v>
      </c>
      <c r="H28" s="371">
        <v>24408004</v>
      </c>
      <c r="I28" s="377" t="s">
        <v>200</v>
      </c>
      <c r="J28" s="367">
        <f>+'MAYOR Y BALANCE'!C87</f>
        <v>4548883.92</v>
      </c>
      <c r="K28" s="367">
        <f>+'MAYOR Y BALANCE'!M87</f>
        <v>4684335.92</v>
      </c>
      <c r="L28" s="360">
        <f t="shared" si="2"/>
        <v>135452</v>
      </c>
      <c r="M28" s="358">
        <f>+L28*100/L50</f>
        <v>0.22654715956448476</v>
      </c>
    </row>
    <row r="29" spans="2:13">
      <c r="B29" s="365">
        <v>11100516</v>
      </c>
      <c r="C29" s="354" t="s">
        <v>207</v>
      </c>
      <c r="D29" s="355">
        <f>+'MAYOR Y BALANCE'!C28</f>
        <v>280896</v>
      </c>
      <c r="E29" s="356">
        <f>+'MAYOR Y BALANCE'!L28</f>
        <v>280896</v>
      </c>
      <c r="F29" s="357">
        <f t="shared" si="0"/>
        <v>0</v>
      </c>
      <c r="G29" s="358">
        <f>+F29*100/F63</f>
        <v>0</v>
      </c>
      <c r="H29" s="371">
        <v>24408005</v>
      </c>
      <c r="I29" s="377" t="s">
        <v>198</v>
      </c>
      <c r="J29" s="367">
        <f>+'MAYOR Y BALANCE'!C88</f>
        <v>2896349</v>
      </c>
      <c r="K29" s="367">
        <f>+'MAYOR Y BALANCE'!M88</f>
        <v>2896349</v>
      </c>
      <c r="L29" s="360">
        <f t="shared" si="2"/>
        <v>0</v>
      </c>
      <c r="M29" s="358">
        <f>+L29*100/L50</f>
        <v>0</v>
      </c>
    </row>
    <row r="30" spans="2:13">
      <c r="B30" s="365">
        <v>11100517</v>
      </c>
      <c r="C30" s="354" t="s">
        <v>212</v>
      </c>
      <c r="D30" s="355">
        <f>+'MAYOR Y BALANCE'!C29</f>
        <v>2538188852.1800003</v>
      </c>
      <c r="E30" s="356">
        <f>+'MAYOR Y BALANCE'!L29</f>
        <v>1559585158.1800003</v>
      </c>
      <c r="F30" s="357">
        <f t="shared" si="0"/>
        <v>-978603694</v>
      </c>
      <c r="G30" s="358">
        <f>+F30*100/F63+1.66</f>
        <v>92.947337494833647</v>
      </c>
      <c r="H30" s="371">
        <v>24408006</v>
      </c>
      <c r="I30" s="377" t="s">
        <v>332</v>
      </c>
      <c r="J30" s="367">
        <f>+'MAYOR Y BALANCE'!C89</f>
        <v>0</v>
      </c>
      <c r="K30" s="367">
        <f>+'MAYOR Y BALANCE'!M89</f>
        <v>44011</v>
      </c>
      <c r="L30" s="360">
        <f t="shared" ref="L30" si="3">+K30-J30</f>
        <v>44011</v>
      </c>
      <c r="M30" s="358">
        <f>+L30*100/L51</f>
        <v>-4.446042973944412E-3</v>
      </c>
    </row>
    <row r="31" spans="2:13">
      <c r="B31" s="365"/>
      <c r="C31" s="354"/>
      <c r="D31" s="355"/>
      <c r="E31" s="356"/>
      <c r="F31" s="357"/>
      <c r="G31" s="358"/>
      <c r="H31" s="363">
        <v>2490</v>
      </c>
      <c r="I31" s="364" t="s">
        <v>264</v>
      </c>
      <c r="J31" s="378">
        <f>SUM(J32:J37)</f>
        <v>18701877.350000001</v>
      </c>
      <c r="K31" s="379">
        <f>SUM(K32:K37)</f>
        <v>79957036.349999994</v>
      </c>
      <c r="L31" s="380">
        <f>SUM(L32:L37)</f>
        <v>61255159</v>
      </c>
      <c r="M31" s="381">
        <f>SUM(M32:M37)</f>
        <v>102.4509219511036</v>
      </c>
    </row>
    <row r="32" spans="2:13">
      <c r="B32" s="347">
        <v>13</v>
      </c>
      <c r="C32" s="364" t="s">
        <v>247</v>
      </c>
      <c r="D32" s="361">
        <f t="shared" ref="D32:G33" si="4">D33</f>
        <v>6917650505</v>
      </c>
      <c r="E32" s="350">
        <f t="shared" si="4"/>
        <v>6917650505</v>
      </c>
      <c r="F32" s="351">
        <f t="shared" si="4"/>
        <v>0</v>
      </c>
      <c r="G32" s="362">
        <f t="shared" si="4"/>
        <v>0</v>
      </c>
      <c r="H32" s="365">
        <v>249027</v>
      </c>
      <c r="I32" s="366" t="s">
        <v>15</v>
      </c>
      <c r="J32" s="382">
        <f>+'MAYOR Y BALANCE'!C95</f>
        <v>771503</v>
      </c>
      <c r="K32" s="382">
        <f>+'MAYOR Y BALANCE'!M95</f>
        <v>0</v>
      </c>
      <c r="L32" s="360">
        <f t="shared" ref="L32:L33" si="5">+K32-J32</f>
        <v>-771503</v>
      </c>
      <c r="M32" s="358">
        <f>+L32*100/L50</f>
        <v>-1.2903597823987738</v>
      </c>
    </row>
    <row r="33" spans="2:13">
      <c r="B33" s="347">
        <v>1384</v>
      </c>
      <c r="C33" s="364" t="s">
        <v>236</v>
      </c>
      <c r="D33" s="368">
        <f t="shared" si="4"/>
        <v>6917650505</v>
      </c>
      <c r="E33" s="369">
        <f t="shared" si="4"/>
        <v>6917650505</v>
      </c>
      <c r="F33" s="375">
        <f t="shared" si="4"/>
        <v>0</v>
      </c>
      <c r="G33" s="376">
        <f t="shared" si="4"/>
        <v>0</v>
      </c>
      <c r="H33" s="365">
        <v>249028</v>
      </c>
      <c r="I33" s="366" t="s">
        <v>121</v>
      </c>
      <c r="J33" s="382">
        <f>+'MAYOR Y BALANCE'!C96</f>
        <v>0</v>
      </c>
      <c r="K33" s="382">
        <f>+'MAYOR Y BALANCE'!M96</f>
        <v>0</v>
      </c>
      <c r="L33" s="360">
        <f t="shared" si="5"/>
        <v>0</v>
      </c>
      <c r="M33" s="358">
        <f>+L33*100/L50</f>
        <v>0</v>
      </c>
    </row>
    <row r="34" spans="2:13">
      <c r="B34" s="353">
        <v>138490</v>
      </c>
      <c r="C34" s="354" t="s">
        <v>235</v>
      </c>
      <c r="D34" s="367">
        <f>+'MAYOR Y BALANCE'!C33</f>
        <v>6917650505</v>
      </c>
      <c r="E34" s="356">
        <f>+'MAYOR Y BALANCE'!L33</f>
        <v>6917650505</v>
      </c>
      <c r="F34" s="357">
        <f>+E34-D34</f>
        <v>0</v>
      </c>
      <c r="G34" s="358">
        <f>+F34*100/F63</f>
        <v>0</v>
      </c>
      <c r="H34" s="365">
        <v>249050</v>
      </c>
      <c r="I34" s="366" t="s">
        <v>280</v>
      </c>
      <c r="J34" s="382">
        <f>+'MAYOR Y BALANCE'!C97</f>
        <v>0</v>
      </c>
      <c r="K34" s="382">
        <f>+'MAYOR Y BALANCE'!M97</f>
        <v>0</v>
      </c>
      <c r="L34" s="360">
        <f>+K34-J34</f>
        <v>0</v>
      </c>
      <c r="M34" s="358">
        <f>+L34*100/L51</f>
        <v>0</v>
      </c>
    </row>
    <row r="35" spans="2:13">
      <c r="B35" s="353"/>
      <c r="C35" s="366"/>
      <c r="D35" s="383"/>
      <c r="E35" s="356"/>
      <c r="F35" s="357"/>
      <c r="G35" s="358"/>
      <c r="H35" s="365">
        <v>249051</v>
      </c>
      <c r="I35" s="366" t="s">
        <v>124</v>
      </c>
      <c r="J35" s="382">
        <f>+'MAYOR Y BALANCE'!C98</f>
        <v>0</v>
      </c>
      <c r="K35" s="382">
        <f>+'MAYOR Y BALANCE'!M98</f>
        <v>0</v>
      </c>
      <c r="L35" s="360">
        <f>+K35-J35</f>
        <v>0</v>
      </c>
      <c r="M35" s="358">
        <f>+L35*100/L50</f>
        <v>0</v>
      </c>
    </row>
    <row r="36" spans="2:13" ht="15.75" thickBot="1">
      <c r="B36" s="339">
        <v>16</v>
      </c>
      <c r="C36" s="340" t="s">
        <v>324</v>
      </c>
      <c r="D36" s="341">
        <f>D37+D40+D43+D45</f>
        <v>143378373.65000001</v>
      </c>
      <c r="E36" s="342">
        <f>E37+E40+E43+E45</f>
        <v>143378373.65000001</v>
      </c>
      <c r="F36" s="345">
        <f>F37+F40+F43+F45</f>
        <v>0</v>
      </c>
      <c r="G36" s="344">
        <f>G37+G40+G43+G45</f>
        <v>0</v>
      </c>
      <c r="H36" s="365">
        <v>249054</v>
      </c>
      <c r="I36" s="366" t="s">
        <v>23</v>
      </c>
      <c r="J36" s="382">
        <f>+'MAYOR Y BALANCE'!C99</f>
        <v>0</v>
      </c>
      <c r="K36" s="382">
        <f>+'MAYOR Y BALANCE'!M99</f>
        <v>62026662</v>
      </c>
      <c r="L36" s="360">
        <f>+K36-J36</f>
        <v>62026662</v>
      </c>
      <c r="M36" s="358">
        <f>+L36*100/L50</f>
        <v>103.74128173350238</v>
      </c>
    </row>
    <row r="37" spans="2:13" ht="15.75" thickTop="1">
      <c r="B37" s="347">
        <v>1665</v>
      </c>
      <c r="C37" s="348" t="s">
        <v>38</v>
      </c>
      <c r="D37" s="368">
        <f>D38+D39</f>
        <v>183715759</v>
      </c>
      <c r="E37" s="369">
        <f>E38+E39</f>
        <v>183715759</v>
      </c>
      <c r="F37" s="375">
        <f>F38+F39</f>
        <v>0</v>
      </c>
      <c r="G37" s="384">
        <f>+G38+G39</f>
        <v>0</v>
      </c>
      <c r="H37" s="365">
        <v>249090</v>
      </c>
      <c r="I37" s="366" t="s">
        <v>252</v>
      </c>
      <c r="J37" s="382">
        <f>+'MAYOR Y BALANCE'!C101</f>
        <v>17930374.350000001</v>
      </c>
      <c r="K37" s="382">
        <f>+'MAYOR Y BALANCE'!M101</f>
        <v>17930374.350000001</v>
      </c>
      <c r="L37" s="360">
        <f>+K37-J37</f>
        <v>0</v>
      </c>
      <c r="M37" s="358">
        <f>+L37*100/L50</f>
        <v>0</v>
      </c>
    </row>
    <row r="38" spans="2:13">
      <c r="B38" s="353">
        <v>166501</v>
      </c>
      <c r="C38" s="354" t="s">
        <v>39</v>
      </c>
      <c r="D38" s="359">
        <f>+'MAYOR Y BALANCE'!C38</f>
        <v>132116759</v>
      </c>
      <c r="E38" s="359">
        <f>+'MAYOR Y BALANCE'!L38</f>
        <v>132116759</v>
      </c>
      <c r="F38" s="357">
        <f t="shared" ref="F38:F39" si="6">+E38-D38</f>
        <v>0</v>
      </c>
      <c r="G38" s="358">
        <f>+F38*100/F63</f>
        <v>0</v>
      </c>
      <c r="H38" s="373">
        <v>25</v>
      </c>
      <c r="I38" s="374" t="s">
        <v>273</v>
      </c>
      <c r="J38" s="368">
        <f>+J39</f>
        <v>78513828</v>
      </c>
      <c r="K38" s="369">
        <f>+K39</f>
        <v>0</v>
      </c>
      <c r="L38" s="375">
        <f>+L39</f>
        <v>-7562800</v>
      </c>
      <c r="M38" s="376">
        <f>+M39</f>
        <v>-12.648989002408864</v>
      </c>
    </row>
    <row r="39" spans="2:13">
      <c r="B39" s="353">
        <v>166502</v>
      </c>
      <c r="C39" s="354" t="s">
        <v>40</v>
      </c>
      <c r="D39" s="359">
        <f>+'MAYOR Y BALANCE'!C39</f>
        <v>51599000</v>
      </c>
      <c r="E39" s="359">
        <f>+'MAYOR Y BALANCE'!L39</f>
        <v>51599000</v>
      </c>
      <c r="F39" s="357">
        <f t="shared" si="6"/>
        <v>0</v>
      </c>
      <c r="G39" s="358">
        <f>+F39*100/F63</f>
        <v>0</v>
      </c>
      <c r="H39" s="373">
        <v>2511</v>
      </c>
      <c r="I39" s="374" t="s">
        <v>274</v>
      </c>
      <c r="J39" s="368">
        <f>SUM(J40:J46)</f>
        <v>78513828</v>
      </c>
      <c r="K39" s="369">
        <f>SUM(K40:K46)</f>
        <v>0</v>
      </c>
      <c r="L39" s="375">
        <f>SUM(L40:L46)</f>
        <v>-7562800</v>
      </c>
      <c r="M39" s="376">
        <f>SUM(M40:M46)</f>
        <v>-12.648989002408864</v>
      </c>
    </row>
    <row r="40" spans="2:13">
      <c r="B40" s="347">
        <v>1670</v>
      </c>
      <c r="C40" s="348" t="s">
        <v>41</v>
      </c>
      <c r="D40" s="361">
        <f>SUM(D41:D42)</f>
        <v>106929487</v>
      </c>
      <c r="E40" s="361">
        <f>SUM(E41:E42)</f>
        <v>106929487</v>
      </c>
      <c r="F40" s="351">
        <f>F41+F42</f>
        <v>0</v>
      </c>
      <c r="G40" s="362">
        <f>G41+G42</f>
        <v>0</v>
      </c>
      <c r="H40" s="371">
        <v>251102</v>
      </c>
      <c r="I40" s="372" t="s">
        <v>150</v>
      </c>
      <c r="J40" s="367">
        <f>+'MAYOR Y BALANCE'!C105</f>
        <v>63059552</v>
      </c>
      <c r="K40" s="367">
        <f>+'MAYOR Y BALANCE'!M105</f>
        <v>0</v>
      </c>
      <c r="L40" s="357">
        <v>0</v>
      </c>
      <c r="M40" s="358">
        <f>+L40*100/L50</f>
        <v>0</v>
      </c>
    </row>
    <row r="41" spans="2:13">
      <c r="B41" s="353">
        <v>167001</v>
      </c>
      <c r="C41" s="354" t="s">
        <v>301</v>
      </c>
      <c r="D41" s="359">
        <f>+'MAYOR Y BALANCE'!C41</f>
        <v>13080002</v>
      </c>
      <c r="E41" s="359">
        <f>+'MAYOR Y BALANCE'!L41</f>
        <v>13080002</v>
      </c>
      <c r="F41" s="357">
        <f>+E41-D41</f>
        <v>0</v>
      </c>
      <c r="G41" s="358">
        <v>0</v>
      </c>
      <c r="H41" s="371">
        <v>251103</v>
      </c>
      <c r="I41" s="372" t="s">
        <v>260</v>
      </c>
      <c r="J41" s="367">
        <f>+'MAYOR Y BALANCE'!C106</f>
        <v>7562800</v>
      </c>
      <c r="K41" s="367">
        <f>+'MAYOR Y BALANCE'!M106</f>
        <v>0</v>
      </c>
      <c r="L41" s="360">
        <f>+K41-J41</f>
        <v>-7562800</v>
      </c>
      <c r="M41" s="358">
        <f>+L41*100/L50</f>
        <v>-12.648989002408864</v>
      </c>
    </row>
    <row r="42" spans="2:13">
      <c r="B42" s="353">
        <v>167002</v>
      </c>
      <c r="C42" s="354" t="s">
        <v>241</v>
      </c>
      <c r="D42" s="359">
        <f>+'MAYOR Y BALANCE'!C42</f>
        <v>93849485</v>
      </c>
      <c r="E42" s="359">
        <f>+'MAYOR Y BALANCE'!L42</f>
        <v>93849485</v>
      </c>
      <c r="F42" s="357">
        <f>+E42-D42</f>
        <v>0</v>
      </c>
      <c r="G42" s="358">
        <f>+F42*100/F63</f>
        <v>0</v>
      </c>
      <c r="H42" s="365">
        <v>251104</v>
      </c>
      <c r="I42" s="366" t="s">
        <v>79</v>
      </c>
      <c r="J42" s="367">
        <f>+'MAYOR Y BALANCE'!C107</f>
        <v>2818436</v>
      </c>
      <c r="K42" s="367">
        <f>+'MAYOR Y BALANCE'!M107</f>
        <v>0</v>
      </c>
      <c r="L42" s="357">
        <f>+K42-K42</f>
        <v>0</v>
      </c>
      <c r="M42" s="358">
        <f>+L42*100/L50</f>
        <v>0</v>
      </c>
    </row>
    <row r="43" spans="2:13">
      <c r="B43" s="347">
        <v>1675</v>
      </c>
      <c r="C43" s="348" t="s">
        <v>42</v>
      </c>
      <c r="D43" s="361">
        <f>D44</f>
        <v>78140000</v>
      </c>
      <c r="E43" s="350">
        <f>E44</f>
        <v>78140000</v>
      </c>
      <c r="F43" s="351">
        <f>F44</f>
        <v>0</v>
      </c>
      <c r="G43" s="362">
        <f>G44</f>
        <v>0</v>
      </c>
      <c r="H43" s="365">
        <v>251105</v>
      </c>
      <c r="I43" s="366" t="s">
        <v>282</v>
      </c>
      <c r="J43" s="367">
        <f>+'MAYOR Y BALANCE'!C108</f>
        <v>2818436</v>
      </c>
      <c r="K43" s="367">
        <f>+'MAYOR Y BALANCE'!M108</f>
        <v>0</v>
      </c>
      <c r="L43" s="357">
        <f t="shared" ref="L43:L46" si="7">+K43-K43</f>
        <v>0</v>
      </c>
      <c r="M43" s="358">
        <f>+L43*100/L50</f>
        <v>0</v>
      </c>
    </row>
    <row r="44" spans="2:13">
      <c r="B44" s="353">
        <v>167502</v>
      </c>
      <c r="C44" s="354" t="s">
        <v>43</v>
      </c>
      <c r="D44" s="359">
        <f>+'MAYOR Y BALANCE'!C44</f>
        <v>78140000</v>
      </c>
      <c r="E44" s="359">
        <f>+'MAYOR Y BALANCE'!L44</f>
        <v>78140000</v>
      </c>
      <c r="F44" s="357">
        <f>+E44-D44</f>
        <v>0</v>
      </c>
      <c r="G44" s="358">
        <f>+F44*100/F63</f>
        <v>0</v>
      </c>
      <c r="H44" s="365">
        <v>251109</v>
      </c>
      <c r="I44" s="366" t="s">
        <v>310</v>
      </c>
      <c r="J44" s="367">
        <f>+'MAYOR Y BALANCE'!C112</f>
        <v>2254604</v>
      </c>
      <c r="K44" s="367">
        <f>+'MAYOR Y BALANCE'!M109</f>
        <v>0</v>
      </c>
      <c r="L44" s="357">
        <f t="shared" si="7"/>
        <v>0</v>
      </c>
      <c r="M44" s="358">
        <f>+L44*100/L50</f>
        <v>0</v>
      </c>
    </row>
    <row r="45" spans="2:13">
      <c r="B45" s="347">
        <v>1685</v>
      </c>
      <c r="C45" s="348" t="s">
        <v>45</v>
      </c>
      <c r="D45" s="368">
        <f>SUM(D46:D49)</f>
        <v>-225406872.34999999</v>
      </c>
      <c r="E45" s="369">
        <f>SUM(E46:E49)</f>
        <v>-225406872.34999999</v>
      </c>
      <c r="F45" s="375">
        <f>SUM(F46:F49)</f>
        <v>0</v>
      </c>
      <c r="G45" s="376">
        <f>SUM(G46:G49)</f>
        <v>0</v>
      </c>
      <c r="H45" s="365">
        <v>251123</v>
      </c>
      <c r="I45" s="366" t="s">
        <v>19</v>
      </c>
      <c r="J45" s="367">
        <f>+'MAYOR Y BALANCE'!C115</f>
        <v>0</v>
      </c>
      <c r="K45" s="367">
        <f>+'MAYOR Y BALANCE'!M110</f>
        <v>0</v>
      </c>
      <c r="L45" s="357">
        <f t="shared" si="7"/>
        <v>0</v>
      </c>
      <c r="M45" s="358">
        <f>+L45*100/L50</f>
        <v>0</v>
      </c>
    </row>
    <row r="46" spans="2:13">
      <c r="B46" s="353">
        <v>168504</v>
      </c>
      <c r="C46" s="354" t="s">
        <v>40</v>
      </c>
      <c r="D46" s="359">
        <f>+'MAYOR Y BALANCE'!C46</f>
        <v>-36119300</v>
      </c>
      <c r="E46" s="359">
        <f>+'MAYOR Y BALANCE'!L46</f>
        <v>-36119300</v>
      </c>
      <c r="F46" s="357">
        <f t="shared" ref="F46:F49" si="8">+E46-D46</f>
        <v>0</v>
      </c>
      <c r="G46" s="358">
        <f>+F46*100/F63</f>
        <v>0</v>
      </c>
      <c r="H46" s="365">
        <v>251124</v>
      </c>
      <c r="I46" s="366" t="s">
        <v>21</v>
      </c>
      <c r="J46" s="367">
        <f>+'MAYOR Y BALANCE'!C116</f>
        <v>0</v>
      </c>
      <c r="K46" s="367">
        <f>+'MAYOR Y BALANCE'!M112</f>
        <v>0</v>
      </c>
      <c r="L46" s="357">
        <f t="shared" si="7"/>
        <v>0</v>
      </c>
      <c r="M46" s="358">
        <f>+L46*100/L50</f>
        <v>0</v>
      </c>
    </row>
    <row r="47" spans="2:13">
      <c r="B47" s="353">
        <v>168506</v>
      </c>
      <c r="C47" s="354" t="s">
        <v>38</v>
      </c>
      <c r="D47" s="359">
        <f>+'MAYOR Y BALANCE'!C47</f>
        <v>-83665448.75</v>
      </c>
      <c r="E47" s="359">
        <f>+'MAYOR Y BALANCE'!L47</f>
        <v>-83665448.75</v>
      </c>
      <c r="F47" s="357">
        <f t="shared" si="8"/>
        <v>0</v>
      </c>
      <c r="G47" s="358">
        <f>+F47*100/F63</f>
        <v>0</v>
      </c>
      <c r="H47" s="363">
        <v>27</v>
      </c>
      <c r="I47" s="364" t="s">
        <v>307</v>
      </c>
      <c r="J47" s="378">
        <f t="shared" ref="J47:M48" si="9">+J48</f>
        <v>0</v>
      </c>
      <c r="K47" s="385">
        <f t="shared" si="9"/>
        <v>0</v>
      </c>
      <c r="L47" s="363">
        <f t="shared" si="9"/>
        <v>0</v>
      </c>
      <c r="M47" s="381">
        <f t="shared" si="9"/>
        <v>0</v>
      </c>
    </row>
    <row r="48" spans="2:13">
      <c r="B48" s="353">
        <v>168507</v>
      </c>
      <c r="C48" s="354" t="s">
        <v>41</v>
      </c>
      <c r="D48" s="359">
        <f>+'MAYOR Y BALANCE'!C48</f>
        <v>-54831123.600000001</v>
      </c>
      <c r="E48" s="359">
        <f>+'MAYOR Y BALANCE'!L48</f>
        <v>-54831123.600000001</v>
      </c>
      <c r="F48" s="357">
        <f t="shared" si="8"/>
        <v>0</v>
      </c>
      <c r="G48" s="358">
        <f>+F48*100/F63</f>
        <v>0</v>
      </c>
      <c r="H48" s="363">
        <v>2715</v>
      </c>
      <c r="I48" s="364" t="s">
        <v>308</v>
      </c>
      <c r="J48" s="378">
        <f t="shared" si="9"/>
        <v>0</v>
      </c>
      <c r="K48" s="385">
        <f t="shared" si="9"/>
        <v>0</v>
      </c>
      <c r="L48" s="363">
        <f t="shared" si="9"/>
        <v>0</v>
      </c>
      <c r="M48" s="381">
        <f t="shared" si="9"/>
        <v>0</v>
      </c>
    </row>
    <row r="49" spans="2:14" ht="15.75" thickBot="1">
      <c r="B49" s="371">
        <v>168508</v>
      </c>
      <c r="C49" s="372" t="s">
        <v>46</v>
      </c>
      <c r="D49" s="359">
        <f>+'MAYOR Y BALANCE'!C49</f>
        <v>-50791000</v>
      </c>
      <c r="E49" s="359">
        <f>+'MAYOR Y BALANCE'!L49</f>
        <v>-50791000</v>
      </c>
      <c r="F49" s="357">
        <f t="shared" si="8"/>
        <v>0</v>
      </c>
      <c r="G49" s="358">
        <f>+F49*100/F63</f>
        <v>0</v>
      </c>
      <c r="H49" s="365">
        <v>271505</v>
      </c>
      <c r="I49" s="386" t="s">
        <v>240</v>
      </c>
      <c r="J49" s="387">
        <f>+'MAYOR Y BALANCE'!C119</f>
        <v>0</v>
      </c>
      <c r="K49" s="387">
        <f>+'MAYOR Y BALANCE'!M119</f>
        <v>0</v>
      </c>
      <c r="L49" s="360">
        <f>+K49-J49</f>
        <v>0</v>
      </c>
      <c r="M49" s="358">
        <f>+L49*100/L50</f>
        <v>0</v>
      </c>
    </row>
    <row r="50" spans="2:14" ht="15.75" thickBot="1">
      <c r="B50" s="339">
        <v>19</v>
      </c>
      <c r="C50" s="340" t="s">
        <v>246</v>
      </c>
      <c r="D50" s="341">
        <f>D51+D54</f>
        <v>2128186018.5611112</v>
      </c>
      <c r="E50" s="342">
        <f>E51+E54</f>
        <v>2129655253.5611112</v>
      </c>
      <c r="F50" s="345">
        <f>F51+F54</f>
        <v>1469235</v>
      </c>
      <c r="G50" s="344">
        <f>G51+G54</f>
        <v>-0.1370550225045665</v>
      </c>
      <c r="H50" s="388"/>
      <c r="I50" s="389" t="s">
        <v>181</v>
      </c>
      <c r="J50" s="390">
        <f>J7</f>
        <v>214013791.27000001</v>
      </c>
      <c r="K50" s="391">
        <f>K7</f>
        <v>202852521.94999999</v>
      </c>
      <c r="L50" s="392">
        <f>L7</f>
        <v>59789758.680000007</v>
      </c>
      <c r="M50" s="393">
        <f>M7</f>
        <v>99.921944360714477</v>
      </c>
    </row>
    <row r="51" spans="2:14" ht="15.75" thickTop="1">
      <c r="B51" s="347">
        <v>1905</v>
      </c>
      <c r="C51" s="348" t="s">
        <v>176</v>
      </c>
      <c r="D51" s="361">
        <f>D53+D52</f>
        <v>968446.11111111101</v>
      </c>
      <c r="E51" s="350">
        <f>E53+E52</f>
        <v>2437681.111111111</v>
      </c>
      <c r="F51" s="351">
        <f>F53+F52</f>
        <v>1469235</v>
      </c>
      <c r="G51" s="362">
        <f>G53+G52</f>
        <v>-0.1370550225045665</v>
      </c>
      <c r="H51" s="394">
        <v>3</v>
      </c>
      <c r="I51" s="395" t="s">
        <v>47</v>
      </c>
      <c r="J51" s="396">
        <f>+J52</f>
        <v>11637136953.121111</v>
      </c>
      <c r="K51" s="397">
        <f>+K52</f>
        <v>10576294458.531111</v>
      </c>
      <c r="L51" s="398">
        <f>+L52</f>
        <v>-989891466.59000015</v>
      </c>
      <c r="M51" s="399">
        <f>+M52</f>
        <v>-71.269608518830211</v>
      </c>
    </row>
    <row r="52" spans="2:14">
      <c r="B52" s="353">
        <v>190501</v>
      </c>
      <c r="C52" s="354" t="s">
        <v>231</v>
      </c>
      <c r="D52" s="359">
        <f>+'MAYOR Y BALANCE'!C52</f>
        <v>630946.11111111101</v>
      </c>
      <c r="E52" s="359">
        <f>+'MAYOR Y BALANCE'!L52</f>
        <v>1350181.111111111</v>
      </c>
      <c r="F52" s="360">
        <f>+E52-D52</f>
        <v>719235</v>
      </c>
      <c r="G52" s="358">
        <f>+F52*100/F63</f>
        <v>-6.7092581589107178E-2</v>
      </c>
      <c r="H52" s="400">
        <v>32</v>
      </c>
      <c r="I52" s="401" t="s">
        <v>325</v>
      </c>
      <c r="J52" s="402">
        <f>+J53+J57+J61</f>
        <v>11637136953.121111</v>
      </c>
      <c r="K52" s="403">
        <f>+K53+K57+K61</f>
        <v>10576294458.531111</v>
      </c>
      <c r="L52" s="404">
        <f>+L53+L57+L61</f>
        <v>-989891466.59000015</v>
      </c>
      <c r="M52" s="405">
        <f>+M53+M57+M61</f>
        <v>-71.269608518830211</v>
      </c>
    </row>
    <row r="53" spans="2:14">
      <c r="B53" s="353">
        <v>190504</v>
      </c>
      <c r="C53" s="354" t="s">
        <v>227</v>
      </c>
      <c r="D53" s="359">
        <f>+'MAYOR Y BALANCE'!C53</f>
        <v>337500</v>
      </c>
      <c r="E53" s="359">
        <f>+'MAYOR Y BALANCE'!L53</f>
        <v>1087500</v>
      </c>
      <c r="F53" s="360">
        <f>+E53-D53</f>
        <v>750000</v>
      </c>
      <c r="G53" s="358">
        <f>+F53*100/F63</f>
        <v>-6.996244091545932E-2</v>
      </c>
      <c r="H53" s="373">
        <v>3204</v>
      </c>
      <c r="I53" s="374" t="s">
        <v>49</v>
      </c>
      <c r="J53" s="402">
        <f>SUM(J54:J56)</f>
        <v>132494500</v>
      </c>
      <c r="K53" s="402">
        <f>SUM(K54:K56)</f>
        <v>132494500</v>
      </c>
      <c r="L53" s="402">
        <f>SUM(L54:L56)</f>
        <v>0</v>
      </c>
      <c r="M53" s="405">
        <f>'[1]MAYOR Y BALANCE'!N116</f>
        <v>0</v>
      </c>
    </row>
    <row r="54" spans="2:14">
      <c r="B54" s="347">
        <v>1906</v>
      </c>
      <c r="C54" s="348" t="s">
        <v>326</v>
      </c>
      <c r="D54" s="361">
        <f>SUM(D55:D58)</f>
        <v>2127217572.45</v>
      </c>
      <c r="E54" s="350">
        <f>SUM(E55:E58)</f>
        <v>2127217572.45</v>
      </c>
      <c r="F54" s="351">
        <f>SUM(F55:F58)</f>
        <v>0</v>
      </c>
      <c r="G54" s="362">
        <f>SUM(G55:G58)</f>
        <v>0</v>
      </c>
      <c r="H54" s="371">
        <v>320401</v>
      </c>
      <c r="I54" s="372" t="s">
        <v>51</v>
      </c>
      <c r="J54" s="406">
        <f>+'MAYOR Y BALANCE'!C124</f>
        <v>150000000</v>
      </c>
      <c r="K54" s="406">
        <f>+'MAYOR Y BALANCE'!M124</f>
        <v>150000000</v>
      </c>
      <c r="L54" s="360">
        <f t="shared" ref="L54:L56" si="10">+K54-J54</f>
        <v>0</v>
      </c>
      <c r="M54" s="358">
        <f>+L54*100/L51</f>
        <v>0</v>
      </c>
    </row>
    <row r="55" spans="2:14">
      <c r="B55" s="353">
        <v>190603</v>
      </c>
      <c r="C55" s="354" t="s">
        <v>27</v>
      </c>
      <c r="D55" s="367">
        <f>+'MAYOR Y BALANCE'!C55</f>
        <v>0.45000000018626451</v>
      </c>
      <c r="E55" s="367">
        <f>+'MAYOR Y BALANCE'!L55</f>
        <v>0.45000000018626451</v>
      </c>
      <c r="F55" s="357">
        <f t="shared" ref="F55:F58" si="11">+E55-D55</f>
        <v>0</v>
      </c>
      <c r="G55" s="358">
        <f>+F55*100/F63</f>
        <v>0</v>
      </c>
      <c r="H55" s="371">
        <v>320402</v>
      </c>
      <c r="I55" s="372" t="s">
        <v>53</v>
      </c>
      <c r="J55" s="406">
        <f>+'MAYOR Y BALANCE'!C125</f>
        <v>-10500000</v>
      </c>
      <c r="K55" s="406">
        <f>+'MAYOR Y BALANCE'!M125</f>
        <v>-10500000</v>
      </c>
      <c r="L55" s="360">
        <f t="shared" si="10"/>
        <v>0</v>
      </c>
      <c r="M55" s="358">
        <f>+L55*100/L51</f>
        <v>0</v>
      </c>
    </row>
    <row r="56" spans="2:14">
      <c r="B56" s="353">
        <v>190604</v>
      </c>
      <c r="C56" s="354" t="s">
        <v>28</v>
      </c>
      <c r="D56" s="367">
        <f>+'MAYOR Y BALANCE'!C56</f>
        <v>172852000</v>
      </c>
      <c r="E56" s="367">
        <f>+'MAYOR Y BALANCE'!L56</f>
        <v>172852000</v>
      </c>
      <c r="F56" s="357">
        <f t="shared" si="11"/>
        <v>0</v>
      </c>
      <c r="G56" s="358">
        <f>+F56*100/F63</f>
        <v>0</v>
      </c>
      <c r="H56" s="371">
        <v>320403</v>
      </c>
      <c r="I56" s="366" t="s">
        <v>54</v>
      </c>
      <c r="J56" s="406">
        <f>+'MAYOR Y BALANCE'!C126</f>
        <v>-7005500</v>
      </c>
      <c r="K56" s="406">
        <f>+'MAYOR Y BALANCE'!M126</f>
        <v>-7005500</v>
      </c>
      <c r="L56" s="360">
        <f t="shared" si="10"/>
        <v>0</v>
      </c>
      <c r="M56" s="358">
        <f>+L56*100/L51</f>
        <v>0</v>
      </c>
    </row>
    <row r="57" spans="2:14">
      <c r="B57" s="353">
        <v>190601</v>
      </c>
      <c r="C57" s="354" t="s">
        <v>29</v>
      </c>
      <c r="D57" s="367">
        <f>+'MAYOR Y BALANCE'!C57</f>
        <v>1932741345</v>
      </c>
      <c r="E57" s="367">
        <f>+'MAYOR Y BALANCE'!L57</f>
        <v>1932741345</v>
      </c>
      <c r="F57" s="357">
        <f t="shared" si="11"/>
        <v>0</v>
      </c>
      <c r="G57" s="358">
        <f>+F57*100/F63</f>
        <v>0</v>
      </c>
      <c r="H57" s="373">
        <v>3230</v>
      </c>
      <c r="I57" s="374" t="s">
        <v>55</v>
      </c>
      <c r="J57" s="407">
        <f>SUM(J58:J59)</f>
        <v>11424781977.121111</v>
      </c>
      <c r="K57" s="407">
        <f>SUM(K58:K60)</f>
        <v>10363939482.531111</v>
      </c>
      <c r="L57" s="407">
        <f>SUM(L58:L60)+70951028</f>
        <v>-989891466.59000015</v>
      </c>
      <c r="M57" s="408">
        <f>+M58</f>
        <v>-71.269608518830211</v>
      </c>
    </row>
    <row r="58" spans="2:14">
      <c r="B58" s="353">
        <v>190690</v>
      </c>
      <c r="C58" s="377" t="s">
        <v>242</v>
      </c>
      <c r="D58" s="367">
        <f>+'MAYOR Y BALANCE'!C58</f>
        <v>21624227</v>
      </c>
      <c r="E58" s="367">
        <f>+'MAYOR Y BALANCE'!L58</f>
        <v>21624227</v>
      </c>
      <c r="F58" s="357">
        <f t="shared" si="11"/>
        <v>0</v>
      </c>
      <c r="G58" s="358">
        <f>+F58*100/F63</f>
        <v>0</v>
      </c>
      <c r="H58" s="371">
        <v>323001</v>
      </c>
      <c r="I58" s="372" t="s">
        <v>278</v>
      </c>
      <c r="J58" s="409">
        <f>+'MAYOR Y BALANCE'!C128</f>
        <v>10719290204.531111</v>
      </c>
      <c r="K58" s="409">
        <f>+'MAYOR Y BALANCE'!M128+706133395-641622</f>
        <v>11424781977.531111</v>
      </c>
      <c r="L58" s="360">
        <f>+K58-J58</f>
        <v>705491773</v>
      </c>
      <c r="M58" s="358">
        <f>+L58*100/L51</f>
        <v>-71.269608518830211</v>
      </c>
    </row>
    <row r="59" spans="2:14">
      <c r="B59" s="353"/>
      <c r="C59" s="366"/>
      <c r="D59" s="383"/>
      <c r="E59" s="356"/>
      <c r="F59" s="357"/>
      <c r="G59" s="358"/>
      <c r="H59" s="371">
        <v>323002</v>
      </c>
      <c r="I59" s="372" t="s">
        <v>278</v>
      </c>
      <c r="J59" s="409">
        <f>+'MAYOR Y BALANCE'!C129</f>
        <v>705491772.59000015</v>
      </c>
      <c r="K59" s="409">
        <f>+'ESTADO RESULTADO'!D105</f>
        <v>-1060842495</v>
      </c>
      <c r="L59" s="360">
        <f>+K59-J59</f>
        <v>-1766334267.5900002</v>
      </c>
      <c r="M59" s="358">
        <f t="shared" ref="M59" si="12">+L59*100/L52</f>
        <v>178.43716480097632</v>
      </c>
    </row>
    <row r="60" spans="2:14">
      <c r="B60" s="353"/>
      <c r="C60" s="366"/>
      <c r="D60" s="383"/>
      <c r="E60" s="356"/>
      <c r="F60" s="357"/>
      <c r="G60" s="358"/>
      <c r="H60" s="410"/>
      <c r="I60" s="366"/>
      <c r="J60" s="411"/>
      <c r="K60" s="382">
        <v>0</v>
      </c>
      <c r="L60" s="360">
        <f t="shared" ref="L60" si="13">+K60-J60</f>
        <v>0</v>
      </c>
      <c r="M60" s="358"/>
    </row>
    <row r="61" spans="2:14">
      <c r="B61" s="365"/>
      <c r="C61" s="366"/>
      <c r="D61" s="383"/>
      <c r="E61" s="411"/>
      <c r="F61" s="365"/>
      <c r="G61" s="358"/>
      <c r="H61" s="412">
        <v>3255</v>
      </c>
      <c r="I61" s="364" t="s">
        <v>309</v>
      </c>
      <c r="J61" s="378">
        <f>+J62</f>
        <v>79860476</v>
      </c>
      <c r="K61" s="378">
        <f>+K62</f>
        <v>79860476</v>
      </c>
      <c r="L61" s="413">
        <f>+L62</f>
        <v>0</v>
      </c>
      <c r="M61" s="358"/>
    </row>
    <row r="62" spans="2:14">
      <c r="B62" s="365"/>
      <c r="C62" s="414"/>
      <c r="D62" s="415"/>
      <c r="E62" s="416"/>
      <c r="F62" s="417"/>
      <c r="G62" s="418"/>
      <c r="H62" s="419">
        <v>325525</v>
      </c>
      <c r="I62" s="414" t="s">
        <v>10</v>
      </c>
      <c r="J62" s="420">
        <f>+'MAYOR Y BALANCE'!C131</f>
        <v>79860476</v>
      </c>
      <c r="K62" s="421">
        <f>+'[1]MAYOR Y BALANCE'!M124</f>
        <v>79860476</v>
      </c>
      <c r="L62" s="360">
        <f>+K62-J62</f>
        <v>0</v>
      </c>
      <c r="M62" s="358">
        <f>+L62*100/L51</f>
        <v>0</v>
      </c>
    </row>
    <row r="63" spans="2:14" ht="15.75" thickBot="1">
      <c r="B63" s="566" t="s">
        <v>58</v>
      </c>
      <c r="C63" s="567"/>
      <c r="D63" s="422">
        <f>+D7</f>
        <v>11851150744.391111</v>
      </c>
      <c r="E63" s="391">
        <f>+E7</f>
        <v>10779146980.391111</v>
      </c>
      <c r="F63" s="423">
        <f>+F7</f>
        <v>-1072003764</v>
      </c>
      <c r="G63" s="424">
        <f>+G7</f>
        <v>100</v>
      </c>
      <c r="H63" s="566" t="s">
        <v>59</v>
      </c>
      <c r="I63" s="567"/>
      <c r="J63" s="390">
        <f>J51+J7</f>
        <v>11851150744.391111</v>
      </c>
      <c r="K63" s="391">
        <f>K51+K7</f>
        <v>10779146980.481112</v>
      </c>
      <c r="L63" s="391">
        <f>L51+L7</f>
        <v>-930101707.91000009</v>
      </c>
      <c r="M63" s="424">
        <v>100</v>
      </c>
    </row>
    <row r="64" spans="2:14">
      <c r="B64" s="425"/>
      <c r="C64" s="426"/>
      <c r="D64" s="427"/>
      <c r="E64" s="428"/>
      <c r="F64" s="428"/>
      <c r="G64" s="429"/>
      <c r="H64" s="426"/>
      <c r="I64" s="426"/>
      <c r="J64" s="426"/>
      <c r="K64" s="430"/>
      <c r="L64" s="431"/>
      <c r="M64" s="432"/>
      <c r="N64" s="529">
        <f>+E63-K63</f>
        <v>-9.0000152587890625E-2</v>
      </c>
    </row>
    <row r="65" spans="2:13">
      <c r="B65" s="425"/>
      <c r="C65" s="426"/>
      <c r="D65" s="427"/>
      <c r="E65" s="428"/>
      <c r="F65" s="428"/>
      <c r="G65" s="426"/>
      <c r="H65" s="426"/>
      <c r="I65" s="426"/>
      <c r="J65" s="426"/>
      <c r="K65" s="430"/>
      <c r="L65" s="430"/>
      <c r="M65" s="433"/>
    </row>
    <row r="66" spans="2:13">
      <c r="B66" s="425"/>
      <c r="C66" s="426"/>
      <c r="D66" s="427"/>
      <c r="E66" s="428"/>
      <c r="F66" s="426"/>
      <c r="G66" s="426"/>
      <c r="H66" s="434"/>
      <c r="I66" s="426"/>
      <c r="J66" s="426"/>
      <c r="K66" s="435"/>
      <c r="L66" s="435"/>
      <c r="M66" s="433"/>
    </row>
    <row r="67" spans="2:13">
      <c r="B67" s="568" t="s">
        <v>257</v>
      </c>
      <c r="C67" s="569"/>
      <c r="D67" s="436"/>
      <c r="E67" s="426"/>
      <c r="F67" s="426"/>
      <c r="G67" s="182" t="s">
        <v>333</v>
      </c>
      <c r="H67" s="426"/>
      <c r="I67" s="410"/>
      <c r="J67" s="437" t="s">
        <v>224</v>
      </c>
      <c r="K67" s="437"/>
      <c r="L67" s="437"/>
      <c r="M67" s="433"/>
    </row>
    <row r="68" spans="2:13">
      <c r="B68" s="568" t="s">
        <v>321</v>
      </c>
      <c r="C68" s="569"/>
      <c r="D68" s="436"/>
      <c r="E68" s="426"/>
      <c r="F68" s="426"/>
      <c r="G68" s="437" t="s">
        <v>344</v>
      </c>
      <c r="H68" s="426"/>
      <c r="I68" s="410"/>
      <c r="J68" s="437" t="s">
        <v>245</v>
      </c>
      <c r="K68" s="437"/>
      <c r="L68" s="437"/>
      <c r="M68" s="433"/>
    </row>
    <row r="69" spans="2:13">
      <c r="B69" s="562" t="s">
        <v>258</v>
      </c>
      <c r="C69" s="563"/>
      <c r="D69" s="438"/>
      <c r="E69" s="426"/>
      <c r="F69" s="426"/>
      <c r="G69" s="437" t="s">
        <v>61</v>
      </c>
      <c r="H69" s="426"/>
      <c r="I69" s="410"/>
      <c r="J69" s="437" t="s">
        <v>223</v>
      </c>
      <c r="K69" s="437"/>
      <c r="L69" s="437"/>
      <c r="M69" s="433"/>
    </row>
    <row r="70" spans="2:13" ht="15.75" thickBot="1">
      <c r="B70" s="439"/>
      <c r="C70" s="440"/>
      <c r="D70" s="441"/>
      <c r="E70" s="440"/>
      <c r="F70" s="440"/>
      <c r="G70" s="440"/>
      <c r="H70" s="440"/>
      <c r="I70" s="440"/>
      <c r="J70" s="440"/>
      <c r="K70" s="440"/>
      <c r="L70" s="440"/>
      <c r="M70" s="442"/>
    </row>
  </sheetData>
  <mergeCells count="14">
    <mergeCell ref="B69:C69"/>
    <mergeCell ref="B8:C8"/>
    <mergeCell ref="H8:I8"/>
    <mergeCell ref="B63:C63"/>
    <mergeCell ref="H63:I63"/>
    <mergeCell ref="B67:C67"/>
    <mergeCell ref="B68:C68"/>
    <mergeCell ref="B7:C7"/>
    <mergeCell ref="H7:I7"/>
    <mergeCell ref="B1:K1"/>
    <mergeCell ref="B2:K2"/>
    <mergeCell ref="B3:K3"/>
    <mergeCell ref="B4:K4"/>
    <mergeCell ref="B5:K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266"/>
  <sheetViews>
    <sheetView topLeftCell="A236" zoomScale="95" zoomScaleNormal="95" workbookViewId="0">
      <selection activeCell="B94" sqref="B94"/>
    </sheetView>
  </sheetViews>
  <sheetFormatPr baseColWidth="10" defaultColWidth="11.42578125" defaultRowHeight="14.25"/>
  <cols>
    <col min="1" max="1" width="9.7109375" style="18" customWidth="1"/>
    <col min="2" max="2" width="48.42578125" style="19" customWidth="1"/>
    <col min="3" max="3" width="15.42578125" style="50" customWidth="1"/>
    <col min="4" max="9" width="14.28515625" style="18" customWidth="1"/>
    <col min="10" max="10" width="16.140625" style="520" customWidth="1"/>
    <col min="11" max="11" width="15.42578125" style="520" customWidth="1"/>
    <col min="12" max="12" width="17.28515625" style="3" customWidth="1"/>
    <col min="13" max="13" width="15.7109375" style="3" customWidth="1"/>
    <col min="14" max="14" width="15.140625" style="3" bestFit="1" customWidth="1"/>
    <col min="15" max="15" width="17.7109375" style="3" customWidth="1"/>
    <col min="16" max="16" width="13.5703125" style="3" bestFit="1" customWidth="1"/>
    <col min="17" max="16384" width="11.42578125" style="3"/>
  </cols>
  <sheetData>
    <row r="1" spans="1:30">
      <c r="A1" s="578" t="s">
        <v>110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80"/>
    </row>
    <row r="2" spans="1:30">
      <c r="A2" s="581" t="s">
        <v>111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3"/>
    </row>
    <row r="3" spans="1:30">
      <c r="A3" s="581" t="s">
        <v>112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3"/>
    </row>
    <row r="4" spans="1:30" ht="15" thickBot="1">
      <c r="A4" s="584" t="s">
        <v>184</v>
      </c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6"/>
    </row>
    <row r="5" spans="1:30" ht="15" thickBot="1">
      <c r="A5" s="587" t="s">
        <v>331</v>
      </c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9"/>
    </row>
    <row r="6" spans="1:30" s="66" customFormat="1" ht="15.75" customHeight="1">
      <c r="A6" s="590" t="s">
        <v>113</v>
      </c>
      <c r="B6" s="592" t="s">
        <v>114</v>
      </c>
      <c r="C6" s="594" t="s">
        <v>251</v>
      </c>
      <c r="D6" s="574" t="s">
        <v>182</v>
      </c>
      <c r="E6" s="575"/>
      <c r="F6" s="574" t="s">
        <v>177</v>
      </c>
      <c r="G6" s="575"/>
      <c r="H6" s="574" t="s">
        <v>206</v>
      </c>
      <c r="I6" s="575"/>
      <c r="J6" s="596" t="s">
        <v>209</v>
      </c>
      <c r="K6" s="596"/>
      <c r="L6" s="576" t="s">
        <v>210</v>
      </c>
      <c r="M6" s="57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6" customFormat="1">
      <c r="A7" s="591"/>
      <c r="B7" s="593"/>
      <c r="C7" s="595"/>
      <c r="D7" s="134" t="s">
        <v>115</v>
      </c>
      <c r="E7" s="134" t="s">
        <v>116</v>
      </c>
      <c r="F7" s="134" t="s">
        <v>115</v>
      </c>
      <c r="G7" s="134" t="s">
        <v>116</v>
      </c>
      <c r="H7" s="134" t="s">
        <v>115</v>
      </c>
      <c r="I7" s="524" t="s">
        <v>116</v>
      </c>
      <c r="J7" s="525" t="s">
        <v>115</v>
      </c>
      <c r="K7" s="525" t="s">
        <v>116</v>
      </c>
      <c r="L7" s="123" t="s">
        <v>115</v>
      </c>
      <c r="M7" s="247" t="s">
        <v>116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69" customFormat="1" ht="14.25" customHeight="1">
      <c r="A8" s="39">
        <v>1</v>
      </c>
      <c r="B8" s="40" t="s">
        <v>117</v>
      </c>
      <c r="C8" s="125">
        <f>C9+C30+C36+C50</f>
        <v>11851150744.391111</v>
      </c>
      <c r="D8" s="125">
        <f>D9+D30+D36+D50</f>
        <v>81786030</v>
      </c>
      <c r="E8" s="125">
        <f>E9+E30+E36+E50</f>
        <v>607604560</v>
      </c>
      <c r="F8" s="125">
        <f t="shared" ref="F8:K8" si="0">F9+F30+F36+F50</f>
        <v>82166506</v>
      </c>
      <c r="G8" s="125">
        <f t="shared" si="0"/>
        <v>628351740</v>
      </c>
      <c r="H8" s="125">
        <f t="shared" si="0"/>
        <v>0</v>
      </c>
      <c r="I8" s="125">
        <f t="shared" si="0"/>
        <v>0</v>
      </c>
      <c r="J8" s="125">
        <f t="shared" si="0"/>
        <v>0</v>
      </c>
      <c r="K8" s="125">
        <f t="shared" si="0"/>
        <v>0</v>
      </c>
      <c r="L8" s="125">
        <f>L9+L30+L36+L50</f>
        <v>10779146980.391111</v>
      </c>
      <c r="M8" s="248">
        <f>+M9+M30+M36+M50</f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48" customFormat="1" ht="14.25" customHeight="1">
      <c r="A9" s="37">
        <v>11</v>
      </c>
      <c r="B9" s="38" t="s">
        <v>6</v>
      </c>
      <c r="C9" s="125">
        <f>+C10+C12</f>
        <v>2661935847.1800003</v>
      </c>
      <c r="D9" s="125">
        <f t="shared" ref="D9:E9" si="1">+D10+D12</f>
        <v>40090460</v>
      </c>
      <c r="E9" s="125">
        <f t="shared" si="1"/>
        <v>567378225</v>
      </c>
      <c r="F9" s="125">
        <f t="shared" ref="F9:K9" si="2">+F10+F12</f>
        <v>82166411</v>
      </c>
      <c r="G9" s="125">
        <f t="shared" si="2"/>
        <v>628351645</v>
      </c>
      <c r="H9" s="125">
        <f t="shared" si="2"/>
        <v>0</v>
      </c>
      <c r="I9" s="125">
        <f t="shared" si="2"/>
        <v>0</v>
      </c>
      <c r="J9" s="125">
        <f t="shared" si="2"/>
        <v>0</v>
      </c>
      <c r="K9" s="125">
        <f t="shared" si="2"/>
        <v>0</v>
      </c>
      <c r="L9" s="125">
        <f>+L10+L12</f>
        <v>1588462848.1800003</v>
      </c>
      <c r="M9" s="249">
        <f>+M10+M12</f>
        <v>0</v>
      </c>
    </row>
    <row r="10" spans="1:30" s="49" customFormat="1" ht="14.25" customHeight="1">
      <c r="A10" s="39">
        <v>1105</v>
      </c>
      <c r="B10" s="40" t="s">
        <v>7</v>
      </c>
      <c r="C10" s="125">
        <f t="shared" ref="C10:M10" si="3">+C11</f>
        <v>0</v>
      </c>
      <c r="D10" s="125">
        <f t="shared" si="3"/>
        <v>0</v>
      </c>
      <c r="E10" s="125">
        <f t="shared" si="3"/>
        <v>0</v>
      </c>
      <c r="F10" s="125">
        <f t="shared" si="3"/>
        <v>0</v>
      </c>
      <c r="G10" s="125">
        <f t="shared" si="3"/>
        <v>0</v>
      </c>
      <c r="H10" s="125">
        <f t="shared" si="3"/>
        <v>0</v>
      </c>
      <c r="I10" s="125">
        <f t="shared" si="3"/>
        <v>0</v>
      </c>
      <c r="J10" s="512">
        <f t="shared" si="3"/>
        <v>0</v>
      </c>
      <c r="K10" s="512">
        <f t="shared" si="3"/>
        <v>0</v>
      </c>
      <c r="L10" s="125">
        <f t="shared" si="3"/>
        <v>0</v>
      </c>
      <c r="M10" s="249">
        <f t="shared" si="3"/>
        <v>0</v>
      </c>
    </row>
    <row r="11" spans="1:30" ht="14.25" customHeight="1">
      <c r="A11" s="41">
        <v>110501</v>
      </c>
      <c r="B11" s="33" t="s">
        <v>9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512">
        <v>0</v>
      </c>
      <c r="K11" s="512">
        <v>0</v>
      </c>
      <c r="L11" s="125">
        <v>0</v>
      </c>
      <c r="M11" s="249">
        <v>0</v>
      </c>
    </row>
    <row r="12" spans="1:30" s="49" customFormat="1" ht="14.25" customHeight="1">
      <c r="A12" s="39">
        <v>1110</v>
      </c>
      <c r="B12" s="40" t="s">
        <v>11</v>
      </c>
      <c r="C12" s="125">
        <f t="shared" ref="C12:J12" si="4">+SUM(C13:C29)</f>
        <v>2661935847.1800003</v>
      </c>
      <c r="D12" s="125">
        <f>+SUM(D13:D29)</f>
        <v>40090460</v>
      </c>
      <c r="E12" s="125">
        <f>+SUM(E13:E29)</f>
        <v>567378225</v>
      </c>
      <c r="F12" s="125">
        <f t="shared" si="4"/>
        <v>82166411</v>
      </c>
      <c r="G12" s="125">
        <f t="shared" si="4"/>
        <v>628351645</v>
      </c>
      <c r="H12" s="125">
        <f t="shared" si="4"/>
        <v>0</v>
      </c>
      <c r="I12" s="125">
        <f>+SUM(I13:I29)</f>
        <v>0</v>
      </c>
      <c r="J12" s="125">
        <f t="shared" si="4"/>
        <v>0</v>
      </c>
      <c r="K12" s="125">
        <f>+SUM(K13:K29)</f>
        <v>0</v>
      </c>
      <c r="L12" s="125">
        <f>+SUM(L13:L29)</f>
        <v>1588462848.1800003</v>
      </c>
      <c r="M12" s="249">
        <f>+SUM(M13:M25)</f>
        <v>0</v>
      </c>
      <c r="N12" s="264">
        <f>+L12</f>
        <v>1588462848.1800003</v>
      </c>
      <c r="O12" s="49">
        <v>100</v>
      </c>
      <c r="P12" s="264">
        <f>+N12-N13</f>
        <v>-1073472999</v>
      </c>
    </row>
    <row r="13" spans="1:30" s="197" customFormat="1" ht="14.25" customHeight="1">
      <c r="A13" s="41">
        <v>11100501</v>
      </c>
      <c r="B13" s="33" t="s">
        <v>12</v>
      </c>
      <c r="C13" s="124">
        <v>754230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f t="shared" ref="L13:L29" si="5">C13+D13-E13+F13-G13+H13-I13+J13-K13</f>
        <v>754230</v>
      </c>
      <c r="M13" s="250">
        <v>0</v>
      </c>
      <c r="N13" s="527">
        <f>+C12</f>
        <v>2661935847.1800003</v>
      </c>
      <c r="O13" s="197" t="s">
        <v>334</v>
      </c>
    </row>
    <row r="14" spans="1:30" s="197" customFormat="1" ht="14.25" customHeight="1">
      <c r="A14" s="41">
        <v>11100502</v>
      </c>
      <c r="B14" s="33" t="s">
        <v>14</v>
      </c>
      <c r="C14" s="124">
        <v>97790525</v>
      </c>
      <c r="D14" s="124">
        <v>0</v>
      </c>
      <c r="E14" s="124">
        <v>0</v>
      </c>
      <c r="F14" s="124">
        <v>0</v>
      </c>
      <c r="G14" s="124">
        <v>94000000</v>
      </c>
      <c r="H14" s="124">
        <v>0</v>
      </c>
      <c r="I14" s="124">
        <v>0</v>
      </c>
      <c r="J14" s="124">
        <v>0</v>
      </c>
      <c r="K14" s="124">
        <v>0</v>
      </c>
      <c r="L14" s="124">
        <f t="shared" si="5"/>
        <v>3790525</v>
      </c>
      <c r="M14" s="250">
        <v>0</v>
      </c>
      <c r="N14" s="528">
        <f>+N13*O12/N12</f>
        <v>167.57935826009052</v>
      </c>
    </row>
    <row r="15" spans="1:30" s="197" customFormat="1" ht="14.25" customHeight="1">
      <c r="A15" s="41">
        <v>11100503</v>
      </c>
      <c r="B15" s="205" t="s">
        <v>16</v>
      </c>
      <c r="C15" s="124">
        <v>3143121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f t="shared" si="5"/>
        <v>3143121</v>
      </c>
      <c r="M15" s="250">
        <v>0</v>
      </c>
      <c r="N15" s="197">
        <v>100</v>
      </c>
    </row>
    <row r="16" spans="1:30" s="197" customFormat="1" ht="14.25" customHeight="1">
      <c r="A16" s="41">
        <v>11100504</v>
      </c>
      <c r="B16" s="205" t="s">
        <v>18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f t="shared" si="5"/>
        <v>0</v>
      </c>
      <c r="M16" s="250">
        <v>0</v>
      </c>
      <c r="N16" s="528">
        <f>+N15-N14</f>
        <v>-67.579358260090515</v>
      </c>
    </row>
    <row r="17" spans="1:14" s="197" customFormat="1" ht="14.25" customHeight="1">
      <c r="A17" s="41">
        <v>11100505</v>
      </c>
      <c r="B17" s="205" t="s">
        <v>20</v>
      </c>
      <c r="C17" s="124">
        <v>3142309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f t="shared" si="5"/>
        <v>3142309</v>
      </c>
      <c r="M17" s="250">
        <v>0</v>
      </c>
    </row>
    <row r="18" spans="1:14" s="197" customFormat="1" ht="14.25" customHeight="1">
      <c r="A18" s="41">
        <v>11100506</v>
      </c>
      <c r="B18" s="205" t="s">
        <v>160</v>
      </c>
      <c r="C18" s="124">
        <v>4122510</v>
      </c>
      <c r="D18" s="124">
        <v>100</v>
      </c>
      <c r="E18" s="124">
        <v>124890</v>
      </c>
      <c r="F18" s="124">
        <v>95</v>
      </c>
      <c r="G18" s="124">
        <v>744610</v>
      </c>
      <c r="H18" s="124">
        <v>0</v>
      </c>
      <c r="I18" s="124">
        <v>0</v>
      </c>
      <c r="J18" s="124">
        <v>0</v>
      </c>
      <c r="K18" s="124">
        <v>0</v>
      </c>
      <c r="L18" s="124">
        <f t="shared" si="5"/>
        <v>3253205</v>
      </c>
      <c r="M18" s="250">
        <v>0</v>
      </c>
    </row>
    <row r="19" spans="1:14" s="197" customFormat="1" ht="14.25" customHeight="1">
      <c r="A19" s="41">
        <v>11100507</v>
      </c>
      <c r="B19" s="205" t="s">
        <v>162</v>
      </c>
      <c r="C19" s="124">
        <v>70661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f t="shared" si="5"/>
        <v>70661</v>
      </c>
      <c r="M19" s="250">
        <v>0</v>
      </c>
    </row>
    <row r="20" spans="1:14" s="197" customFormat="1" ht="14.25" customHeight="1">
      <c r="A20" s="41">
        <v>11100508</v>
      </c>
      <c r="B20" s="205" t="s">
        <v>163</v>
      </c>
      <c r="C20" s="124">
        <v>1191225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f t="shared" si="5"/>
        <v>1191225</v>
      </c>
      <c r="M20" s="250">
        <v>0</v>
      </c>
    </row>
    <row r="21" spans="1:14" s="197" customFormat="1" ht="14.25" customHeight="1">
      <c r="A21" s="41">
        <v>11100509</v>
      </c>
      <c r="B21" s="205" t="s">
        <v>164</v>
      </c>
      <c r="C21" s="124">
        <v>53406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f t="shared" si="5"/>
        <v>53406</v>
      </c>
      <c r="M21" s="250">
        <v>0</v>
      </c>
    </row>
    <row r="22" spans="1:14" s="197" customFormat="1" ht="14.25" customHeight="1">
      <c r="A22" s="41">
        <v>11100510</v>
      </c>
      <c r="B22" s="205" t="s">
        <v>159</v>
      </c>
      <c r="C22" s="124">
        <v>54279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f t="shared" si="5"/>
        <v>54279</v>
      </c>
      <c r="M22" s="250">
        <v>0</v>
      </c>
    </row>
    <row r="23" spans="1:14" s="197" customFormat="1" ht="14.25" customHeight="1">
      <c r="A23" s="41">
        <v>11100511</v>
      </c>
      <c r="B23" s="205" t="s">
        <v>189</v>
      </c>
      <c r="C23" s="124">
        <v>5233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f t="shared" si="5"/>
        <v>5233</v>
      </c>
      <c r="M23" s="250"/>
    </row>
    <row r="24" spans="1:14" s="197" customFormat="1" ht="14.25" customHeight="1">
      <c r="A24" s="41">
        <v>11100512</v>
      </c>
      <c r="B24" s="205" t="s">
        <v>190</v>
      </c>
      <c r="C24" s="124">
        <v>21444</v>
      </c>
      <c r="D24" s="124">
        <v>0</v>
      </c>
      <c r="E24" s="124">
        <v>0</v>
      </c>
      <c r="F24" s="124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f t="shared" si="5"/>
        <v>21444</v>
      </c>
      <c r="M24" s="250"/>
    </row>
    <row r="25" spans="1:14" s="197" customFormat="1" ht="14.25" customHeight="1">
      <c r="A25" s="41">
        <v>11100513</v>
      </c>
      <c r="B25" s="205" t="s">
        <v>191</v>
      </c>
      <c r="C25" s="124">
        <v>18972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f t="shared" si="5"/>
        <v>18972</v>
      </c>
      <c r="M25" s="250"/>
    </row>
    <row r="26" spans="1:14" s="197" customFormat="1" ht="14.25" customHeight="1">
      <c r="A26" s="41">
        <v>11100514</v>
      </c>
      <c r="B26" s="205" t="s">
        <v>226</v>
      </c>
      <c r="C26" s="124">
        <v>13096478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f t="shared" si="5"/>
        <v>13096478</v>
      </c>
      <c r="M26" s="250"/>
    </row>
    <row r="27" spans="1:14" s="197" customFormat="1" ht="14.25" customHeight="1">
      <c r="A27" s="41">
        <v>11100515</v>
      </c>
      <c r="B27" s="205" t="s">
        <v>218</v>
      </c>
      <c r="C27" s="124">
        <v>1706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f t="shared" si="5"/>
        <v>1706</v>
      </c>
      <c r="M27" s="250"/>
    </row>
    <row r="28" spans="1:14" s="197" customFormat="1" ht="14.25" customHeight="1">
      <c r="A28" s="41">
        <v>11100516</v>
      </c>
      <c r="B28" s="205" t="s">
        <v>207</v>
      </c>
      <c r="C28" s="124">
        <v>280896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f t="shared" si="5"/>
        <v>280896</v>
      </c>
      <c r="M28" s="250"/>
    </row>
    <row r="29" spans="1:14" s="197" customFormat="1" ht="14.25" customHeight="1">
      <c r="A29" s="41">
        <v>11100517</v>
      </c>
      <c r="B29" s="205" t="s">
        <v>211</v>
      </c>
      <c r="C29" s="124">
        <v>2538188852.1800003</v>
      </c>
      <c r="D29" s="124">
        <f>35954053+4136307</f>
        <v>40090360</v>
      </c>
      <c r="E29" s="124">
        <v>567253335</v>
      </c>
      <c r="F29" s="124">
        <f>78030009+4136307</f>
        <v>82166316</v>
      </c>
      <c r="G29" s="124">
        <f>529470728+4136307</f>
        <v>533607035</v>
      </c>
      <c r="H29" s="124">
        <v>0</v>
      </c>
      <c r="I29" s="124">
        <v>0</v>
      </c>
      <c r="J29" s="124">
        <v>0</v>
      </c>
      <c r="K29" s="124">
        <v>0</v>
      </c>
      <c r="L29" s="124">
        <f t="shared" si="5"/>
        <v>1559585158.1800003</v>
      </c>
      <c r="M29" s="250">
        <v>0</v>
      </c>
    </row>
    <row r="30" spans="1:14" s="48" customFormat="1" ht="14.25" customHeight="1">
      <c r="A30" s="37">
        <v>13</v>
      </c>
      <c r="B30" s="38" t="s">
        <v>22</v>
      </c>
      <c r="C30" s="125">
        <f>+C31+C34</f>
        <v>6917650505</v>
      </c>
      <c r="D30" s="125">
        <f t="shared" ref="D30:L30" si="6">+D31+D34</f>
        <v>40090460</v>
      </c>
      <c r="E30" s="125">
        <f t="shared" si="6"/>
        <v>40090460</v>
      </c>
      <c r="F30" s="125">
        <f t="shared" si="6"/>
        <v>95</v>
      </c>
      <c r="G30" s="125">
        <f t="shared" si="6"/>
        <v>95</v>
      </c>
      <c r="H30" s="125">
        <f t="shared" ref="H30" si="7">+H31+H34</f>
        <v>0</v>
      </c>
      <c r="I30" s="125">
        <f t="shared" si="6"/>
        <v>0</v>
      </c>
      <c r="J30" s="125">
        <f t="shared" si="6"/>
        <v>0</v>
      </c>
      <c r="K30" s="125">
        <f t="shared" si="6"/>
        <v>0</v>
      </c>
      <c r="L30" s="125">
        <f t="shared" si="6"/>
        <v>6917650505</v>
      </c>
      <c r="M30" s="249">
        <f t="shared" ref="M30" si="8">M31</f>
        <v>0</v>
      </c>
      <c r="N30" s="88"/>
    </row>
    <row r="31" spans="1:14" s="49" customFormat="1" ht="16.5" customHeight="1">
      <c r="A31" s="39">
        <v>1384</v>
      </c>
      <c r="B31" s="40" t="s">
        <v>238</v>
      </c>
      <c r="C31" s="125">
        <f>+C32+C33</f>
        <v>6917650505</v>
      </c>
      <c r="D31" s="125">
        <f t="shared" ref="D31:L31" si="9">+D32+D33</f>
        <v>40090460</v>
      </c>
      <c r="E31" s="125">
        <f t="shared" si="9"/>
        <v>40090460</v>
      </c>
      <c r="F31" s="125">
        <f t="shared" si="9"/>
        <v>95</v>
      </c>
      <c r="G31" s="125">
        <f t="shared" si="9"/>
        <v>95</v>
      </c>
      <c r="H31" s="125">
        <f t="shared" ref="H31" si="10">+H32+H33</f>
        <v>0</v>
      </c>
      <c r="I31" s="125">
        <f t="shared" si="9"/>
        <v>0</v>
      </c>
      <c r="J31" s="125">
        <f t="shared" si="9"/>
        <v>0</v>
      </c>
      <c r="K31" s="125">
        <f t="shared" si="9"/>
        <v>0</v>
      </c>
      <c r="L31" s="125">
        <f t="shared" si="9"/>
        <v>6917650505</v>
      </c>
      <c r="M31" s="248">
        <f>SUM(M33:M33)</f>
        <v>0</v>
      </c>
    </row>
    <row r="32" spans="1:14" s="49" customFormat="1" ht="16.5" customHeight="1">
      <c r="A32" s="41">
        <v>138436</v>
      </c>
      <c r="B32" s="33" t="s">
        <v>286</v>
      </c>
      <c r="C32" s="129"/>
      <c r="D32" s="124">
        <v>100</v>
      </c>
      <c r="E32" s="124">
        <v>100</v>
      </c>
      <c r="F32" s="124">
        <v>95</v>
      </c>
      <c r="G32" s="124">
        <v>95</v>
      </c>
      <c r="H32" s="124">
        <v>0</v>
      </c>
      <c r="I32" s="124">
        <v>0</v>
      </c>
      <c r="J32" s="124">
        <v>0</v>
      </c>
      <c r="K32" s="124">
        <v>0</v>
      </c>
      <c r="L32" s="127">
        <f>C32+D32+F32+H32+J32-E32-G32-I32-K32</f>
        <v>0</v>
      </c>
      <c r="M32" s="251"/>
    </row>
    <row r="33" spans="1:13" s="197" customFormat="1" ht="14.25" customHeight="1">
      <c r="A33" s="31">
        <v>138490</v>
      </c>
      <c r="B33" s="35" t="s">
        <v>31</v>
      </c>
      <c r="C33" s="129">
        <v>6917650505</v>
      </c>
      <c r="D33" s="124">
        <f>35954053+4136307</f>
        <v>40090360</v>
      </c>
      <c r="E33" s="124">
        <f>35954053+4136307</f>
        <v>40090360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7">
        <f>C33+D33+F33+H33+J33-E33-G33-I33-K33</f>
        <v>6917650505</v>
      </c>
      <c r="M33" s="251">
        <v>0</v>
      </c>
    </row>
    <row r="34" spans="1:13" s="49" customFormat="1" ht="14.25" customHeight="1">
      <c r="A34" s="39">
        <v>1385</v>
      </c>
      <c r="B34" s="40" t="s">
        <v>118</v>
      </c>
      <c r="C34" s="125">
        <f>+C35</f>
        <v>0</v>
      </c>
      <c r="D34" s="126">
        <f>+D35</f>
        <v>0</v>
      </c>
      <c r="E34" s="126">
        <f t="shared" ref="E34:M34" si="11">+E35</f>
        <v>0</v>
      </c>
      <c r="F34" s="126">
        <f t="shared" si="11"/>
        <v>0</v>
      </c>
      <c r="G34" s="126">
        <f t="shared" si="11"/>
        <v>0</v>
      </c>
      <c r="H34" s="127">
        <f>C34+D34+F34-E34-G34</f>
        <v>0</v>
      </c>
      <c r="I34" s="126">
        <f t="shared" si="11"/>
        <v>0</v>
      </c>
      <c r="J34" s="513">
        <f>E34+F34+H34-G34-I34</f>
        <v>0</v>
      </c>
      <c r="K34" s="514">
        <f t="shared" si="11"/>
        <v>0</v>
      </c>
      <c r="L34" s="127">
        <f>C34+D34+F34+H34-E34-G34-I34</f>
        <v>0</v>
      </c>
      <c r="M34" s="248">
        <f t="shared" si="11"/>
        <v>0</v>
      </c>
    </row>
    <row r="35" spans="1:13" ht="14.25" customHeight="1">
      <c r="A35" s="41">
        <v>138590</v>
      </c>
      <c r="B35" s="33" t="s">
        <v>119</v>
      </c>
      <c r="C35" s="129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>C35+D35+F35-E35-G35</f>
        <v>0</v>
      </c>
      <c r="I35" s="127">
        <v>0</v>
      </c>
      <c r="J35" s="513">
        <f>E35+F35+H35-G35-I35</f>
        <v>0</v>
      </c>
      <c r="K35" s="513">
        <v>0</v>
      </c>
      <c r="L35" s="127">
        <f>C35+D35+F35+H35-E35-G35-I35</f>
        <v>0</v>
      </c>
      <c r="M35" s="251">
        <v>0</v>
      </c>
    </row>
    <row r="36" spans="1:13" s="48" customFormat="1" ht="16.5" customHeight="1">
      <c r="A36" s="37">
        <v>16</v>
      </c>
      <c r="B36" s="38" t="s">
        <v>34</v>
      </c>
      <c r="C36" s="125">
        <f>+C37+C40+C43+C45</f>
        <v>143378373.65000001</v>
      </c>
      <c r="D36" s="125">
        <f>+D37+D40+D43-D45</f>
        <v>0</v>
      </c>
      <c r="E36" s="125">
        <f>+E37+E40+E43-E45</f>
        <v>0</v>
      </c>
      <c r="F36" s="125">
        <f>+F37+F40+F43-F45</f>
        <v>0</v>
      </c>
      <c r="G36" s="125">
        <f>+G45</f>
        <v>0</v>
      </c>
      <c r="H36" s="125">
        <f>+H37+H40+H43-H45</f>
        <v>0</v>
      </c>
      <c r="I36" s="125">
        <f>+I45</f>
        <v>0</v>
      </c>
      <c r="J36" s="512">
        <f>+J45</f>
        <v>0</v>
      </c>
      <c r="K36" s="512">
        <f>K37+K40+K43+K45</f>
        <v>0</v>
      </c>
      <c r="L36" s="125">
        <f>L37+L40+L43+L45</f>
        <v>143378373.65000001</v>
      </c>
      <c r="M36" s="249">
        <f>+M45</f>
        <v>0</v>
      </c>
    </row>
    <row r="37" spans="1:13" s="49" customFormat="1" ht="14.25" customHeight="1">
      <c r="A37" s="39">
        <v>1665</v>
      </c>
      <c r="B37" s="40" t="s">
        <v>38</v>
      </c>
      <c r="C37" s="130">
        <f>+C38+C39</f>
        <v>183715759</v>
      </c>
      <c r="D37" s="126">
        <f t="shared" ref="D37:K37" si="12">SUM(D38:D39)</f>
        <v>0</v>
      </c>
      <c r="E37" s="126">
        <f t="shared" si="12"/>
        <v>0</v>
      </c>
      <c r="F37" s="126">
        <f t="shared" si="12"/>
        <v>0</v>
      </c>
      <c r="G37" s="126">
        <f t="shared" si="12"/>
        <v>0</v>
      </c>
      <c r="H37" s="126">
        <f t="shared" ref="H37" si="13">SUM(H38:H39)</f>
        <v>0</v>
      </c>
      <c r="I37" s="126">
        <f t="shared" si="12"/>
        <v>0</v>
      </c>
      <c r="J37" s="514">
        <f t="shared" si="12"/>
        <v>0</v>
      </c>
      <c r="K37" s="514">
        <f t="shared" si="12"/>
        <v>0</v>
      </c>
      <c r="L37" s="126">
        <f>L38+L39</f>
        <v>183715759</v>
      </c>
      <c r="M37" s="248">
        <f>SUM(M38:M39)</f>
        <v>0</v>
      </c>
    </row>
    <row r="38" spans="1:13" s="198" customFormat="1" ht="14.25" customHeight="1">
      <c r="A38" s="41">
        <v>166501</v>
      </c>
      <c r="B38" s="33" t="s">
        <v>39</v>
      </c>
      <c r="C38" s="129">
        <v>132116759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7">
        <f>C38+D38+F38+H38+J38-E38-G38-I38-K38</f>
        <v>132116759</v>
      </c>
      <c r="M38" s="252">
        <v>0</v>
      </c>
    </row>
    <row r="39" spans="1:13" s="197" customFormat="1" ht="14.25" customHeight="1">
      <c r="A39" s="41">
        <v>166502</v>
      </c>
      <c r="B39" s="33" t="s">
        <v>40</v>
      </c>
      <c r="C39" s="124">
        <v>51599000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7">
        <f>C39+D39+F39+H39+J39-E39-G39-I39-K39</f>
        <v>51599000</v>
      </c>
      <c r="M39" s="252">
        <v>0</v>
      </c>
    </row>
    <row r="40" spans="1:13" s="49" customFormat="1" ht="25.5" customHeight="1">
      <c r="A40" s="39">
        <v>1670</v>
      </c>
      <c r="B40" s="122" t="s">
        <v>41</v>
      </c>
      <c r="C40" s="125">
        <f>+C41+C42</f>
        <v>106929487</v>
      </c>
      <c r="D40" s="125">
        <f t="shared" ref="D40:K40" si="14">+D41+D42</f>
        <v>0</v>
      </c>
      <c r="E40" s="125">
        <f t="shared" si="14"/>
        <v>0</v>
      </c>
      <c r="F40" s="125">
        <f t="shared" si="14"/>
        <v>0</v>
      </c>
      <c r="G40" s="125">
        <f t="shared" si="14"/>
        <v>0</v>
      </c>
      <c r="H40" s="125">
        <f t="shared" si="14"/>
        <v>0</v>
      </c>
      <c r="I40" s="125">
        <f t="shared" si="14"/>
        <v>0</v>
      </c>
      <c r="J40" s="125">
        <f t="shared" si="14"/>
        <v>0</v>
      </c>
      <c r="K40" s="125">
        <f t="shared" si="14"/>
        <v>0</v>
      </c>
      <c r="L40" s="126">
        <f>+L41+L42</f>
        <v>106929487</v>
      </c>
      <c r="M40" s="248">
        <f t="shared" ref="M40" si="15">+M42</f>
        <v>0</v>
      </c>
    </row>
    <row r="41" spans="1:13" ht="25.5" customHeight="1">
      <c r="A41" s="41">
        <v>167001</v>
      </c>
      <c r="B41" s="205" t="s">
        <v>301</v>
      </c>
      <c r="C41" s="129">
        <v>13080002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  <c r="L41" s="127">
        <f>C41+D41+F41+H41+J41-E41-G41-I41-K41</f>
        <v>13080002</v>
      </c>
      <c r="M41" s="251"/>
    </row>
    <row r="42" spans="1:13" s="197" customFormat="1" ht="14.25" customHeight="1">
      <c r="A42" s="41">
        <v>167002</v>
      </c>
      <c r="B42" s="33" t="s">
        <v>239</v>
      </c>
      <c r="C42" s="124">
        <v>93849485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7">
        <f>C42+D42+F42+H42+J42-E42-G42-I42-K42</f>
        <v>93849485</v>
      </c>
      <c r="M42" s="252">
        <v>0</v>
      </c>
    </row>
    <row r="43" spans="1:13" s="49" customFormat="1" ht="24" customHeight="1">
      <c r="A43" s="39">
        <v>1675</v>
      </c>
      <c r="B43" s="122" t="s">
        <v>42</v>
      </c>
      <c r="C43" s="125">
        <f>+C44</f>
        <v>78140000</v>
      </c>
      <c r="D43" s="125">
        <f t="shared" ref="D43:M43" si="16">+D44</f>
        <v>0</v>
      </c>
      <c r="E43" s="125">
        <f t="shared" si="16"/>
        <v>0</v>
      </c>
      <c r="F43" s="125">
        <f t="shared" si="16"/>
        <v>0</v>
      </c>
      <c r="G43" s="125">
        <f t="shared" si="16"/>
        <v>0</v>
      </c>
      <c r="H43" s="125">
        <f t="shared" si="16"/>
        <v>0</v>
      </c>
      <c r="I43" s="125">
        <f t="shared" si="16"/>
        <v>0</v>
      </c>
      <c r="J43" s="512">
        <f t="shared" si="16"/>
        <v>0</v>
      </c>
      <c r="K43" s="512">
        <f t="shared" si="16"/>
        <v>0</v>
      </c>
      <c r="L43" s="126">
        <f>L44</f>
        <v>78140000</v>
      </c>
      <c r="M43" s="249">
        <f t="shared" si="16"/>
        <v>0</v>
      </c>
    </row>
    <row r="44" spans="1:13" s="197" customFormat="1" ht="14.25" customHeight="1">
      <c r="A44" s="41">
        <v>167502</v>
      </c>
      <c r="B44" s="33" t="s">
        <v>43</v>
      </c>
      <c r="C44" s="129">
        <v>78140000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513">
        <v>0</v>
      </c>
      <c r="K44" s="513">
        <v>0</v>
      </c>
      <c r="L44" s="127">
        <f>C44+D44+F44+H44+J44-E44-G44-I44-K44</f>
        <v>78140000</v>
      </c>
      <c r="M44" s="251">
        <v>0</v>
      </c>
    </row>
    <row r="45" spans="1:13" s="49" customFormat="1" ht="14.25" customHeight="1">
      <c r="A45" s="39">
        <v>1685</v>
      </c>
      <c r="B45" s="40" t="s">
        <v>45</v>
      </c>
      <c r="C45" s="130">
        <f>+SUM(C46:C49)</f>
        <v>-225406872.34999999</v>
      </c>
      <c r="D45" s="131">
        <f t="shared" ref="D45:M45" si="17">SUM(D46:D49)</f>
        <v>0</v>
      </c>
      <c r="E45" s="131">
        <f t="shared" si="17"/>
        <v>0</v>
      </c>
      <c r="F45" s="131">
        <f t="shared" si="17"/>
        <v>0</v>
      </c>
      <c r="G45" s="131">
        <f>SUM(G46:G49)</f>
        <v>0</v>
      </c>
      <c r="H45" s="131">
        <f t="shared" si="17"/>
        <v>0</v>
      </c>
      <c r="I45" s="131">
        <f t="shared" si="17"/>
        <v>0</v>
      </c>
      <c r="J45" s="516">
        <f t="shared" si="17"/>
        <v>0</v>
      </c>
      <c r="K45" s="516">
        <f t="shared" si="17"/>
        <v>0</v>
      </c>
      <c r="L45" s="131">
        <f t="shared" si="17"/>
        <v>-225406872.34999999</v>
      </c>
      <c r="M45" s="253">
        <f t="shared" si="17"/>
        <v>0</v>
      </c>
    </row>
    <row r="46" spans="1:13" s="197" customFormat="1" ht="14.25" customHeight="1">
      <c r="A46" s="41">
        <v>168504</v>
      </c>
      <c r="B46" s="33" t="s">
        <v>40</v>
      </c>
      <c r="C46" s="239">
        <v>-36119300</v>
      </c>
      <c r="D46" s="237">
        <v>0</v>
      </c>
      <c r="E46" s="127">
        <v>0</v>
      </c>
      <c r="F46" s="127">
        <v>0</v>
      </c>
      <c r="G46" s="127">
        <v>0</v>
      </c>
      <c r="H46" s="127">
        <v>0</v>
      </c>
      <c r="I46" s="127"/>
      <c r="J46" s="513">
        <v>0</v>
      </c>
      <c r="K46" s="513">
        <v>0</v>
      </c>
      <c r="L46" s="127">
        <f>C46+D46-E46+F46-G46+H46-I46+J46-K46</f>
        <v>-36119300</v>
      </c>
      <c r="M46" s="251">
        <v>0</v>
      </c>
    </row>
    <row r="47" spans="1:13" s="197" customFormat="1" ht="14.25" customHeight="1">
      <c r="A47" s="41">
        <v>168506</v>
      </c>
      <c r="B47" s="33" t="s">
        <v>38</v>
      </c>
      <c r="C47" s="239">
        <v>-83665448.75</v>
      </c>
      <c r="D47" s="237">
        <v>0</v>
      </c>
      <c r="E47" s="127">
        <v>0</v>
      </c>
      <c r="F47" s="127">
        <v>0</v>
      </c>
      <c r="G47" s="127">
        <v>0</v>
      </c>
      <c r="H47" s="127">
        <v>0</v>
      </c>
      <c r="I47" s="127"/>
      <c r="J47" s="513">
        <v>0</v>
      </c>
      <c r="K47" s="513">
        <v>0</v>
      </c>
      <c r="L47" s="127">
        <f t="shared" ref="L47:L49" si="18">C47+D47-E47+F47-G47+H47-I47+J47-K47</f>
        <v>-83665448.75</v>
      </c>
      <c r="M47" s="251">
        <v>0</v>
      </c>
    </row>
    <row r="48" spans="1:13" s="199" customFormat="1" ht="14.25" customHeight="1">
      <c r="A48" s="41">
        <v>168507</v>
      </c>
      <c r="B48" s="33" t="s">
        <v>41</v>
      </c>
      <c r="C48" s="239">
        <v>-54831123.600000001</v>
      </c>
      <c r="D48" s="238">
        <v>0</v>
      </c>
      <c r="E48" s="127">
        <v>0</v>
      </c>
      <c r="F48" s="127">
        <v>0</v>
      </c>
      <c r="G48" s="127">
        <v>0</v>
      </c>
      <c r="H48" s="127">
        <v>0</v>
      </c>
      <c r="I48" s="127"/>
      <c r="J48" s="513">
        <v>0</v>
      </c>
      <c r="K48" s="513">
        <v>0</v>
      </c>
      <c r="L48" s="127">
        <f t="shared" si="18"/>
        <v>-54831123.600000001</v>
      </c>
      <c r="M48" s="251">
        <v>0</v>
      </c>
    </row>
    <row r="49" spans="1:38" s="199" customFormat="1" ht="14.25" customHeight="1">
      <c r="A49" s="31">
        <v>168508</v>
      </c>
      <c r="B49" s="32" t="s">
        <v>46</v>
      </c>
      <c r="C49" s="239">
        <v>-50791000</v>
      </c>
      <c r="D49" s="237">
        <v>0</v>
      </c>
      <c r="E49" s="127">
        <v>0</v>
      </c>
      <c r="F49" s="127">
        <v>0</v>
      </c>
      <c r="G49" s="127">
        <v>0</v>
      </c>
      <c r="H49" s="127">
        <v>0</v>
      </c>
      <c r="I49" s="127"/>
      <c r="J49" s="513">
        <v>0</v>
      </c>
      <c r="K49" s="513">
        <v>0</v>
      </c>
      <c r="L49" s="127">
        <f t="shared" si="18"/>
        <v>-50791000</v>
      </c>
      <c r="M49" s="251">
        <v>0</v>
      </c>
    </row>
    <row r="50" spans="1:38" s="48" customFormat="1" ht="14.25" customHeight="1">
      <c r="A50" s="37">
        <v>19</v>
      </c>
      <c r="B50" s="38" t="s">
        <v>48</v>
      </c>
      <c r="C50" s="125">
        <f>+C51+C54+C59</f>
        <v>2128186018.5611112</v>
      </c>
      <c r="D50" s="126">
        <f>+D51+D54+D59</f>
        <v>1605110</v>
      </c>
      <c r="E50" s="126">
        <f t="shared" ref="E50:K50" si="19">+E51+E54+E59</f>
        <v>135875</v>
      </c>
      <c r="F50" s="126">
        <f t="shared" si="19"/>
        <v>0</v>
      </c>
      <c r="G50" s="126">
        <f t="shared" si="19"/>
        <v>0</v>
      </c>
      <c r="H50" s="126">
        <f t="shared" si="19"/>
        <v>0</v>
      </c>
      <c r="I50" s="126">
        <f t="shared" si="19"/>
        <v>0</v>
      </c>
      <c r="J50" s="126">
        <f t="shared" si="19"/>
        <v>0</v>
      </c>
      <c r="K50" s="126">
        <f t="shared" si="19"/>
        <v>0</v>
      </c>
      <c r="L50" s="125">
        <f>+L51+L54+L59</f>
        <v>2129655253.5611112</v>
      </c>
      <c r="M50" s="248">
        <f>+M51+M59</f>
        <v>0</v>
      </c>
    </row>
    <row r="51" spans="1:38" s="48" customFormat="1" ht="27.75" customHeight="1">
      <c r="A51" s="39">
        <v>1905</v>
      </c>
      <c r="B51" s="227" t="s">
        <v>120</v>
      </c>
      <c r="C51" s="125">
        <f>+C52+C53</f>
        <v>968446.11111111101</v>
      </c>
      <c r="D51" s="126">
        <f>+D52+D53</f>
        <v>1605110</v>
      </c>
      <c r="E51" s="126">
        <f>+E52+E53</f>
        <v>135875</v>
      </c>
      <c r="F51" s="126">
        <f>+F52+F53</f>
        <v>0</v>
      </c>
      <c r="G51" s="126">
        <f>+G52+G53</f>
        <v>0</v>
      </c>
      <c r="H51" s="126">
        <v>0</v>
      </c>
      <c r="I51" s="126">
        <f>+I52+I53</f>
        <v>0</v>
      </c>
      <c r="J51" s="514">
        <f>+J52+J53</f>
        <v>0</v>
      </c>
      <c r="K51" s="126">
        <f>+K52+K53</f>
        <v>0</v>
      </c>
      <c r="L51" s="126">
        <f>L53+L52</f>
        <v>2437681.111111111</v>
      </c>
      <c r="M51" s="248">
        <f>+M52+M53</f>
        <v>0</v>
      </c>
    </row>
    <row r="52" spans="1:38" s="198" customFormat="1" ht="14.25" customHeight="1">
      <c r="A52" s="41">
        <v>190501</v>
      </c>
      <c r="B52" s="228" t="s">
        <v>121</v>
      </c>
      <c r="C52" s="230">
        <v>630946.11111111101</v>
      </c>
      <c r="D52" s="124">
        <v>855110</v>
      </c>
      <c r="E52" s="124">
        <v>135875</v>
      </c>
      <c r="F52" s="124">
        <v>0</v>
      </c>
      <c r="G52" s="124">
        <v>0</v>
      </c>
      <c r="H52" s="124">
        <v>0</v>
      </c>
      <c r="I52" s="124">
        <v>0</v>
      </c>
      <c r="J52" s="124">
        <v>0</v>
      </c>
      <c r="K52" s="124">
        <v>0</v>
      </c>
      <c r="L52" s="127">
        <f>C52+D52+F52+H52+J52-E52-G52-I52-K52</f>
        <v>1350181.111111111</v>
      </c>
      <c r="M52" s="251">
        <v>0</v>
      </c>
    </row>
    <row r="53" spans="1:38" s="197" customFormat="1" ht="14.25" customHeight="1">
      <c r="A53" s="41">
        <v>190504</v>
      </c>
      <c r="B53" s="228" t="s">
        <v>32</v>
      </c>
      <c r="C53" s="230">
        <v>337500</v>
      </c>
      <c r="D53" s="124">
        <v>750000</v>
      </c>
      <c r="E53" s="124">
        <v>0</v>
      </c>
      <c r="F53" s="124">
        <v>0</v>
      </c>
      <c r="G53" s="124">
        <v>0</v>
      </c>
      <c r="H53" s="124">
        <v>0</v>
      </c>
      <c r="I53" s="124">
        <v>0</v>
      </c>
      <c r="J53" s="124">
        <v>0</v>
      </c>
      <c r="K53" s="124">
        <v>0</v>
      </c>
      <c r="L53" s="127">
        <f>C53+D53+F53+H53+J53-E53-G53-I53-K53</f>
        <v>1087500</v>
      </c>
      <c r="M53" s="252">
        <v>0</v>
      </c>
    </row>
    <row r="54" spans="1:38" ht="19.5" customHeight="1">
      <c r="A54" s="39">
        <v>1906</v>
      </c>
      <c r="B54" s="229" t="s">
        <v>25</v>
      </c>
      <c r="C54" s="125">
        <f t="shared" ref="C54:I54" si="20">+SUM(C55:C58)</f>
        <v>2127217572.45</v>
      </c>
      <c r="D54" s="126">
        <f t="shared" si="20"/>
        <v>0</v>
      </c>
      <c r="E54" s="126">
        <f t="shared" si="20"/>
        <v>0</v>
      </c>
      <c r="F54" s="126">
        <f t="shared" si="20"/>
        <v>0</v>
      </c>
      <c r="G54" s="126">
        <f t="shared" si="20"/>
        <v>0</v>
      </c>
      <c r="H54" s="126">
        <f t="shared" si="20"/>
        <v>0</v>
      </c>
      <c r="I54" s="126">
        <f t="shared" si="20"/>
        <v>0</v>
      </c>
      <c r="J54" s="514">
        <f>+J55+J56+J57+J58</f>
        <v>0</v>
      </c>
      <c r="K54" s="126">
        <f>+SUM(K55:K58)</f>
        <v>0</v>
      </c>
      <c r="L54" s="126">
        <f>+C54+D54-E54+F54-G54+H54-I54+J54-K54</f>
        <v>2127217572.45</v>
      </c>
      <c r="M54" s="248">
        <f>+SUM(M55:M58)</f>
        <v>0</v>
      </c>
    </row>
    <row r="55" spans="1:38" ht="14.25" customHeight="1">
      <c r="A55" s="41">
        <v>190603</v>
      </c>
      <c r="B55" s="228" t="s">
        <v>27</v>
      </c>
      <c r="C55" s="230">
        <v>0.45000000018626451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24">
        <v>0</v>
      </c>
      <c r="J55" s="124">
        <v>0</v>
      </c>
      <c r="K55" s="124">
        <v>0</v>
      </c>
      <c r="L55" s="127">
        <f>C55+D55+F55+H55+J55-E55-G55-I55-K55</f>
        <v>0.45000000018626451</v>
      </c>
      <c r="M55" s="251">
        <v>0</v>
      </c>
    </row>
    <row r="56" spans="1:38" ht="14.25" customHeight="1">
      <c r="A56" s="41">
        <v>190604</v>
      </c>
      <c r="B56" s="228" t="s">
        <v>28</v>
      </c>
      <c r="C56" s="230">
        <v>172852000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124">
        <v>0</v>
      </c>
      <c r="L56" s="127">
        <f>C56+D56+F56+H56+J56-E56-G56-I56-K56</f>
        <v>172852000</v>
      </c>
      <c r="M56" s="251">
        <v>0</v>
      </c>
    </row>
    <row r="57" spans="1:38" ht="14.25" customHeight="1">
      <c r="A57" s="41">
        <v>190601</v>
      </c>
      <c r="B57" s="228" t="s">
        <v>29</v>
      </c>
      <c r="C57" s="230">
        <v>1932741345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4">
        <v>0</v>
      </c>
      <c r="K57" s="124">
        <v>0</v>
      </c>
      <c r="L57" s="127">
        <f>C57+D57+F57+H57+J57-E57-G57-I57-K57</f>
        <v>1932741345</v>
      </c>
      <c r="M57" s="251">
        <v>0</v>
      </c>
    </row>
    <row r="58" spans="1:38" ht="14.25" customHeight="1">
      <c r="A58" s="41">
        <v>190690</v>
      </c>
      <c r="B58" s="228" t="s">
        <v>237</v>
      </c>
      <c r="C58" s="230">
        <v>21624227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124">
        <v>0</v>
      </c>
      <c r="L58" s="127">
        <f>C58+D58+F58+H58+J58-E58-G58-I58-K58</f>
        <v>21624227</v>
      </c>
      <c r="M58" s="252">
        <v>0</v>
      </c>
    </row>
    <row r="59" spans="1:38" s="49" customFormat="1" ht="14.25" customHeight="1">
      <c r="A59" s="39">
        <v>1970</v>
      </c>
      <c r="B59" s="40" t="s">
        <v>50</v>
      </c>
      <c r="C59" s="125">
        <f>+C60</f>
        <v>0</v>
      </c>
      <c r="D59" s="126">
        <f>+D60</f>
        <v>0</v>
      </c>
      <c r="E59" s="126">
        <f t="shared" ref="E59:M59" si="21">+E60</f>
        <v>0</v>
      </c>
      <c r="F59" s="126">
        <f t="shared" si="21"/>
        <v>0</v>
      </c>
      <c r="G59" s="126">
        <f t="shared" si="21"/>
        <v>0</v>
      </c>
      <c r="H59" s="126">
        <f>C59+D59-E59+F59-G59</f>
        <v>0</v>
      </c>
      <c r="I59" s="126">
        <f t="shared" si="21"/>
        <v>0</v>
      </c>
      <c r="J59" s="514">
        <f>E59+F59-G59+H59-I59</f>
        <v>0</v>
      </c>
      <c r="K59" s="514">
        <f t="shared" si="21"/>
        <v>0</v>
      </c>
      <c r="L59" s="126">
        <f>E59+F59-G59+H59-I59</f>
        <v>0</v>
      </c>
      <c r="M59" s="248">
        <f t="shared" si="21"/>
        <v>0</v>
      </c>
    </row>
    <row r="60" spans="1:38" s="200" customFormat="1" ht="14.25" customHeight="1">
      <c r="A60" s="41">
        <v>197007</v>
      </c>
      <c r="B60" s="33" t="s">
        <v>52</v>
      </c>
      <c r="C60" s="129">
        <v>0</v>
      </c>
      <c r="D60" s="127">
        <v>0</v>
      </c>
      <c r="E60" s="127">
        <v>0</v>
      </c>
      <c r="F60" s="127">
        <v>0</v>
      </c>
      <c r="G60" s="128">
        <v>0</v>
      </c>
      <c r="H60" s="127">
        <f>C60+D60+F60-E60-G60</f>
        <v>0</v>
      </c>
      <c r="I60" s="128">
        <v>0</v>
      </c>
      <c r="J60" s="513">
        <f>E60+F60+H60-G60-I60</f>
        <v>0</v>
      </c>
      <c r="K60" s="515">
        <v>0</v>
      </c>
      <c r="L60" s="127">
        <f>C60+D60+F60+H60+J60-E60-G60-I60-K60</f>
        <v>0</v>
      </c>
      <c r="M60" s="252">
        <v>0</v>
      </c>
    </row>
    <row r="61" spans="1:38" s="74" customFormat="1" ht="14.25" customHeight="1">
      <c r="A61" s="67">
        <v>2</v>
      </c>
      <c r="B61" s="68" t="s">
        <v>122</v>
      </c>
      <c r="C61" s="132">
        <f>+C62+C102+C117</f>
        <v>214013791.27000001</v>
      </c>
      <c r="D61" s="132">
        <f>+D62+D102+D117</f>
        <v>602882616.12</v>
      </c>
      <c r="E61" s="132">
        <f t="shared" ref="E61:L61" si="22">+E62+E102+E117</f>
        <v>529368896.80000001</v>
      </c>
      <c r="F61" s="132">
        <f t="shared" si="22"/>
        <v>574537082</v>
      </c>
      <c r="G61" s="132">
        <f t="shared" si="22"/>
        <v>636889532</v>
      </c>
      <c r="H61" s="268">
        <f t="shared" si="22"/>
        <v>0</v>
      </c>
      <c r="I61" s="268">
        <f t="shared" si="22"/>
        <v>0</v>
      </c>
      <c r="J61" s="268">
        <f t="shared" si="22"/>
        <v>0</v>
      </c>
      <c r="K61" s="268">
        <f t="shared" si="22"/>
        <v>0</v>
      </c>
      <c r="L61" s="132">
        <f t="shared" si="22"/>
        <v>0</v>
      </c>
      <c r="M61" s="254">
        <f t="shared" ref="M61" si="23">+M62+M102+M117</f>
        <v>202852521.94999999</v>
      </c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</row>
    <row r="62" spans="1:38" ht="20.25" customHeight="1">
      <c r="A62" s="37">
        <v>24</v>
      </c>
      <c r="B62" s="38" t="s">
        <v>123</v>
      </c>
      <c r="C62" s="125">
        <f>+C63+C66+C68+C70+C74+C83+C92+C94</f>
        <v>135499963.27000001</v>
      </c>
      <c r="D62" s="125">
        <f t="shared" ref="D62:M62" si="24">+D63+D66+D68+D70+D74+D83+D92+D94</f>
        <v>274889802.12</v>
      </c>
      <c r="E62" s="125">
        <f t="shared" si="24"/>
        <v>279889910.80000001</v>
      </c>
      <c r="F62" s="125">
        <f t="shared" si="24"/>
        <v>282499551</v>
      </c>
      <c r="G62" s="125">
        <f t="shared" si="24"/>
        <v>344852001</v>
      </c>
      <c r="H62" s="125">
        <f t="shared" si="24"/>
        <v>0</v>
      </c>
      <c r="I62" s="125">
        <f t="shared" si="24"/>
        <v>0</v>
      </c>
      <c r="J62" s="125">
        <f t="shared" si="24"/>
        <v>0</v>
      </c>
      <c r="K62" s="125">
        <f t="shared" si="24"/>
        <v>0</v>
      </c>
      <c r="L62" s="125">
        <f t="shared" si="24"/>
        <v>0</v>
      </c>
      <c r="M62" s="249">
        <f t="shared" si="24"/>
        <v>202852521.94999999</v>
      </c>
    </row>
    <row r="63" spans="1:38" s="49" customFormat="1" ht="14.25" customHeight="1">
      <c r="A63" s="39">
        <v>2401</v>
      </c>
      <c r="B63" s="40" t="s">
        <v>8</v>
      </c>
      <c r="C63" s="125">
        <f>+C64+C65</f>
        <v>0</v>
      </c>
      <c r="D63" s="125">
        <f t="shared" ref="D63:M63" si="25">+D64+D65</f>
        <v>20035480</v>
      </c>
      <c r="E63" s="125">
        <f t="shared" si="25"/>
        <v>20035480</v>
      </c>
      <c r="F63" s="125">
        <f t="shared" si="25"/>
        <v>71400792</v>
      </c>
      <c r="G63" s="125">
        <f t="shared" si="25"/>
        <v>71400792</v>
      </c>
      <c r="H63" s="125">
        <f t="shared" si="25"/>
        <v>0</v>
      </c>
      <c r="I63" s="125">
        <f t="shared" si="25"/>
        <v>0</v>
      </c>
      <c r="J63" s="125">
        <f t="shared" si="25"/>
        <v>0</v>
      </c>
      <c r="K63" s="125">
        <f t="shared" si="25"/>
        <v>0</v>
      </c>
      <c r="L63" s="125">
        <f t="shared" si="25"/>
        <v>0</v>
      </c>
      <c r="M63" s="249">
        <f t="shared" si="25"/>
        <v>0</v>
      </c>
    </row>
    <row r="64" spans="1:38" s="198" customFormat="1" ht="14.25" customHeight="1">
      <c r="A64" s="41">
        <v>240101</v>
      </c>
      <c r="B64" s="33" t="s">
        <v>10</v>
      </c>
      <c r="C64" s="129">
        <v>0</v>
      </c>
      <c r="D64" s="124">
        <v>20035480</v>
      </c>
      <c r="E64" s="124">
        <v>20035480</v>
      </c>
      <c r="F64" s="124">
        <v>71400792</v>
      </c>
      <c r="G64" s="124">
        <v>71400792</v>
      </c>
      <c r="H64" s="124">
        <v>0</v>
      </c>
      <c r="I64" s="124">
        <v>0</v>
      </c>
      <c r="J64" s="124">
        <v>0</v>
      </c>
      <c r="K64" s="124">
        <v>0</v>
      </c>
      <c r="L64" s="127">
        <v>0</v>
      </c>
      <c r="M64" s="252">
        <f>+C64-D64+E64-F64+G64-H64+I64-J64+K64</f>
        <v>0</v>
      </c>
    </row>
    <row r="65" spans="1:13" s="198" customFormat="1" ht="14.25" customHeight="1">
      <c r="A65" s="41">
        <v>240102</v>
      </c>
      <c r="B65" s="33" t="s">
        <v>161</v>
      </c>
      <c r="C65" s="129">
        <v>0</v>
      </c>
      <c r="D65" s="127">
        <v>0</v>
      </c>
      <c r="E65" s="128">
        <v>0</v>
      </c>
      <c r="F65" s="128">
        <v>0</v>
      </c>
      <c r="G65" s="128">
        <v>0</v>
      </c>
      <c r="H65" s="126">
        <v>0</v>
      </c>
      <c r="I65" s="128">
        <v>0</v>
      </c>
      <c r="J65" s="515">
        <v>0</v>
      </c>
      <c r="K65" s="515">
        <v>0</v>
      </c>
      <c r="L65" s="126">
        <v>0</v>
      </c>
      <c r="M65" s="252">
        <f>+C65-D65+E65-F65+G65-H65+I65-J65+K65</f>
        <v>0</v>
      </c>
    </row>
    <row r="66" spans="1:13" s="49" customFormat="1" ht="14.25" customHeight="1">
      <c r="A66" s="39">
        <v>2403</v>
      </c>
      <c r="B66" s="40" t="s">
        <v>194</v>
      </c>
      <c r="C66" s="125">
        <v>0</v>
      </c>
      <c r="D66" s="126">
        <f>+D67</f>
        <v>0</v>
      </c>
      <c r="E66" s="126">
        <f t="shared" ref="E66:L66" si="26">+E67</f>
        <v>0</v>
      </c>
      <c r="F66" s="126">
        <f t="shared" si="26"/>
        <v>0</v>
      </c>
      <c r="G66" s="126">
        <f t="shared" si="26"/>
        <v>0</v>
      </c>
      <c r="H66" s="126">
        <f t="shared" si="26"/>
        <v>0</v>
      </c>
      <c r="I66" s="126">
        <f t="shared" si="26"/>
        <v>0</v>
      </c>
      <c r="J66" s="126">
        <f t="shared" si="26"/>
        <v>0</v>
      </c>
      <c r="K66" s="126">
        <f t="shared" si="26"/>
        <v>0</v>
      </c>
      <c r="L66" s="126">
        <f t="shared" si="26"/>
        <v>0</v>
      </c>
      <c r="M66" s="253">
        <f>+M67</f>
        <v>0</v>
      </c>
    </row>
    <row r="67" spans="1:13" s="49" customFormat="1" ht="14.25" customHeight="1">
      <c r="A67" s="41">
        <v>240315</v>
      </c>
      <c r="B67" s="33" t="s">
        <v>166</v>
      </c>
      <c r="C67" s="129">
        <v>0</v>
      </c>
      <c r="D67" s="127">
        <v>0</v>
      </c>
      <c r="E67" s="128">
        <v>0</v>
      </c>
      <c r="F67" s="128">
        <v>0</v>
      </c>
      <c r="G67" s="128">
        <v>0</v>
      </c>
      <c r="H67" s="126">
        <v>0</v>
      </c>
      <c r="I67" s="128">
        <f>C67+E67+G67-D67-F67</f>
        <v>0</v>
      </c>
      <c r="J67" s="514">
        <v>0</v>
      </c>
      <c r="K67" s="515">
        <f>E67+G67+I67-F67-H67</f>
        <v>0</v>
      </c>
      <c r="L67" s="126">
        <v>0</v>
      </c>
      <c r="M67" s="252">
        <f>+C67-D67+E67-F67+G67-H67+I67-J67+K67</f>
        <v>0</v>
      </c>
    </row>
    <row r="68" spans="1:13" s="49" customFormat="1" ht="14.25" customHeight="1">
      <c r="A68" s="39">
        <v>2424</v>
      </c>
      <c r="B68" s="40" t="s">
        <v>265</v>
      </c>
      <c r="C68" s="125">
        <f>+C69</f>
        <v>154377</v>
      </c>
      <c r="D68" s="125">
        <f t="shared" ref="D68:M68" si="27">+D69</f>
        <v>0</v>
      </c>
      <c r="E68" s="125">
        <f t="shared" si="27"/>
        <v>0</v>
      </c>
      <c r="F68" s="125">
        <f t="shared" si="27"/>
        <v>0</v>
      </c>
      <c r="G68" s="125">
        <f t="shared" si="27"/>
        <v>0</v>
      </c>
      <c r="H68" s="125">
        <f t="shared" si="27"/>
        <v>0</v>
      </c>
      <c r="I68" s="125">
        <f t="shared" si="27"/>
        <v>0</v>
      </c>
      <c r="J68" s="125">
        <f t="shared" si="27"/>
        <v>0</v>
      </c>
      <c r="K68" s="125">
        <f t="shared" si="27"/>
        <v>0</v>
      </c>
      <c r="L68" s="125">
        <f t="shared" si="27"/>
        <v>0</v>
      </c>
      <c r="M68" s="249">
        <f t="shared" si="27"/>
        <v>154377</v>
      </c>
    </row>
    <row r="69" spans="1:13" s="49" customFormat="1" ht="14.25" customHeight="1">
      <c r="A69" s="41">
        <v>242411</v>
      </c>
      <c r="B69" s="33" t="s">
        <v>125</v>
      </c>
      <c r="C69" s="124">
        <v>154377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v>0</v>
      </c>
      <c r="J69" s="513">
        <v>0</v>
      </c>
      <c r="K69" s="515">
        <v>0</v>
      </c>
      <c r="L69" s="127">
        <v>0</v>
      </c>
      <c r="M69" s="252">
        <f>+C69-D69+E69-F69+G69-H69+I69-J69+K69</f>
        <v>154377</v>
      </c>
    </row>
    <row r="70" spans="1:13" s="49" customFormat="1" ht="14.25" customHeight="1">
      <c r="A70" s="39">
        <v>2430</v>
      </c>
      <c r="B70" s="40" t="s">
        <v>193</v>
      </c>
      <c r="C70" s="130">
        <f>+C72+C71+C73</f>
        <v>0</v>
      </c>
      <c r="D70" s="126">
        <f>D71+D72+D73</f>
        <v>0</v>
      </c>
      <c r="E70" s="126">
        <v>0</v>
      </c>
      <c r="F70" s="131">
        <v>0</v>
      </c>
      <c r="G70" s="126">
        <v>0</v>
      </c>
      <c r="H70" s="126">
        <f t="shared" ref="H70:M70" si="28">+H71+H72+H73</f>
        <v>0</v>
      </c>
      <c r="I70" s="126">
        <f t="shared" si="28"/>
        <v>0</v>
      </c>
      <c r="J70" s="514">
        <f t="shared" si="28"/>
        <v>0</v>
      </c>
      <c r="K70" s="514">
        <f t="shared" si="28"/>
        <v>0</v>
      </c>
      <c r="L70" s="126">
        <f t="shared" si="28"/>
        <v>0</v>
      </c>
      <c r="M70" s="248">
        <f t="shared" si="28"/>
        <v>0</v>
      </c>
    </row>
    <row r="71" spans="1:13" s="197" customFormat="1" ht="14.25" customHeight="1">
      <c r="A71" s="41">
        <v>243012</v>
      </c>
      <c r="B71" s="33" t="s">
        <v>186</v>
      </c>
      <c r="C71" s="124">
        <v>0</v>
      </c>
      <c r="D71" s="127">
        <v>0</v>
      </c>
      <c r="E71" s="127"/>
      <c r="F71" s="128"/>
      <c r="G71" s="127"/>
      <c r="H71" s="127"/>
      <c r="I71" s="128">
        <f>C71+E71+G71-D71-F71</f>
        <v>0</v>
      </c>
      <c r="J71" s="513"/>
      <c r="K71" s="515">
        <f>E71+G71+I71-F71-H71</f>
        <v>0</v>
      </c>
      <c r="L71" s="127"/>
      <c r="M71" s="252">
        <f t="shared" ref="M71:M73" si="29">+C71-D71+E71-F71+G71-H71+I71-J71+K71</f>
        <v>0</v>
      </c>
    </row>
    <row r="72" spans="1:13" s="197" customFormat="1" ht="14.25" customHeight="1">
      <c r="A72" s="41">
        <v>243013</v>
      </c>
      <c r="B72" s="33" t="s">
        <v>187</v>
      </c>
      <c r="C72" s="124">
        <v>0</v>
      </c>
      <c r="D72" s="127">
        <v>0</v>
      </c>
      <c r="E72" s="127"/>
      <c r="F72" s="128"/>
      <c r="G72" s="127"/>
      <c r="H72" s="127"/>
      <c r="I72" s="128">
        <f>C72+E72+G72-D72-F72</f>
        <v>0</v>
      </c>
      <c r="J72" s="513"/>
      <c r="K72" s="515">
        <f>E72+G72+I72-F72-H72</f>
        <v>0</v>
      </c>
      <c r="L72" s="127"/>
      <c r="M72" s="252">
        <f t="shared" si="29"/>
        <v>0</v>
      </c>
    </row>
    <row r="73" spans="1:13" s="197" customFormat="1" ht="14.25" customHeight="1">
      <c r="A73" s="41">
        <v>243014</v>
      </c>
      <c r="B73" s="33" t="s">
        <v>188</v>
      </c>
      <c r="C73" s="124">
        <v>0</v>
      </c>
      <c r="D73" s="127">
        <v>0</v>
      </c>
      <c r="E73" s="127"/>
      <c r="F73" s="128"/>
      <c r="G73" s="127"/>
      <c r="H73" s="127"/>
      <c r="I73" s="128">
        <f>C73+E73+G73-D73-F73</f>
        <v>0</v>
      </c>
      <c r="J73" s="513"/>
      <c r="K73" s="515">
        <f>E73+G73+I73-F73-H73</f>
        <v>0</v>
      </c>
      <c r="L73" s="127"/>
      <c r="M73" s="252">
        <f t="shared" si="29"/>
        <v>0</v>
      </c>
    </row>
    <row r="74" spans="1:13" s="49" customFormat="1" ht="14.25" customHeight="1">
      <c r="A74" s="29">
        <v>2436</v>
      </c>
      <c r="B74" s="30" t="s">
        <v>26</v>
      </c>
      <c r="C74" s="130">
        <f t="shared" ref="C74:M74" si="30">+SUM(C75:C82)</f>
        <v>493792.44000000029</v>
      </c>
      <c r="D74" s="131">
        <f t="shared" si="30"/>
        <v>5394303.1200000001</v>
      </c>
      <c r="E74" s="131">
        <f t="shared" si="30"/>
        <v>5826889.7999999998</v>
      </c>
      <c r="F74" s="131">
        <f t="shared" si="30"/>
        <v>1314000</v>
      </c>
      <c r="G74" s="131">
        <f t="shared" si="30"/>
        <v>6665606</v>
      </c>
      <c r="H74" s="131">
        <f t="shared" si="30"/>
        <v>0</v>
      </c>
      <c r="I74" s="131">
        <f t="shared" si="30"/>
        <v>0</v>
      </c>
      <c r="J74" s="131">
        <f t="shared" si="30"/>
        <v>0</v>
      </c>
      <c r="K74" s="131">
        <f t="shared" si="30"/>
        <v>0</v>
      </c>
      <c r="L74" s="131">
        <f t="shared" si="30"/>
        <v>0</v>
      </c>
      <c r="M74" s="253">
        <f t="shared" si="30"/>
        <v>6277985.1199999992</v>
      </c>
    </row>
    <row r="75" spans="1:13" s="197" customFormat="1" ht="15" customHeight="1">
      <c r="A75" s="31">
        <v>243603</v>
      </c>
      <c r="B75" s="32" t="s">
        <v>23</v>
      </c>
      <c r="C75" s="124">
        <v>666.30000000074506</v>
      </c>
      <c r="D75" s="124">
        <v>1913471.12</v>
      </c>
      <c r="E75" s="124">
        <v>1963057.8</v>
      </c>
      <c r="F75" s="124">
        <v>0</v>
      </c>
      <c r="G75" s="124">
        <v>1900000</v>
      </c>
      <c r="H75" s="124">
        <v>0</v>
      </c>
      <c r="I75" s="124">
        <v>0</v>
      </c>
      <c r="J75" s="124">
        <v>0</v>
      </c>
      <c r="K75" s="124">
        <v>0</v>
      </c>
      <c r="L75" s="127">
        <v>0</v>
      </c>
      <c r="M75" s="252">
        <f t="shared" ref="M75:M82" si="31">+C75-D75+E75-F75+G75-H75+I75-J75+K75</f>
        <v>1950252.9800000007</v>
      </c>
    </row>
    <row r="76" spans="1:13" s="197" customFormat="1" ht="14.25" customHeight="1">
      <c r="A76" s="31">
        <v>243605</v>
      </c>
      <c r="B76" s="32" t="s">
        <v>30</v>
      </c>
      <c r="C76" s="124">
        <v>490874</v>
      </c>
      <c r="D76" s="124">
        <v>1506000</v>
      </c>
      <c r="E76" s="124">
        <v>1506000</v>
      </c>
      <c r="F76" s="124">
        <v>0</v>
      </c>
      <c r="G76" s="124">
        <v>9076</v>
      </c>
      <c r="H76" s="124">
        <v>0</v>
      </c>
      <c r="I76" s="124">
        <v>0</v>
      </c>
      <c r="J76" s="124">
        <v>0</v>
      </c>
      <c r="K76" s="124">
        <v>0</v>
      </c>
      <c r="L76" s="127">
        <v>0</v>
      </c>
      <c r="M76" s="252">
        <f t="shared" si="31"/>
        <v>499950</v>
      </c>
    </row>
    <row r="77" spans="1:13" s="197" customFormat="1" ht="14.25" customHeight="1">
      <c r="A77" s="31">
        <v>243606</v>
      </c>
      <c r="B77" s="32" t="s">
        <v>32</v>
      </c>
      <c r="C77" s="124">
        <v>0.47999999998137355</v>
      </c>
      <c r="D77" s="124">
        <v>608832</v>
      </c>
      <c r="E77" s="124">
        <v>608832</v>
      </c>
      <c r="F77" s="124">
        <v>0</v>
      </c>
      <c r="G77" s="124">
        <v>0</v>
      </c>
      <c r="H77" s="124">
        <v>0</v>
      </c>
      <c r="I77" s="124">
        <v>0</v>
      </c>
      <c r="J77" s="124">
        <v>0</v>
      </c>
      <c r="K77" s="124">
        <v>0</v>
      </c>
      <c r="L77" s="127">
        <v>0</v>
      </c>
      <c r="M77" s="252">
        <f t="shared" si="31"/>
        <v>0.47999999998137355</v>
      </c>
    </row>
    <row r="78" spans="1:13" s="198" customFormat="1" ht="14.25" customHeight="1">
      <c r="A78" s="31">
        <v>243608</v>
      </c>
      <c r="B78" s="32" t="s">
        <v>33</v>
      </c>
      <c r="C78" s="124">
        <v>30.379999999888241</v>
      </c>
      <c r="D78" s="124">
        <v>0</v>
      </c>
      <c r="E78" s="124">
        <v>0</v>
      </c>
      <c r="F78" s="124">
        <v>0</v>
      </c>
      <c r="G78" s="124">
        <v>1083628</v>
      </c>
      <c r="H78" s="124">
        <v>0</v>
      </c>
      <c r="I78" s="124">
        <v>0</v>
      </c>
      <c r="J78" s="124">
        <v>0</v>
      </c>
      <c r="K78" s="124">
        <v>0</v>
      </c>
      <c r="L78" s="127">
        <v>0</v>
      </c>
      <c r="M78" s="252">
        <f t="shared" si="31"/>
        <v>1083658.3799999999</v>
      </c>
    </row>
    <row r="79" spans="1:13" ht="14.25" customHeight="1">
      <c r="A79" s="31">
        <v>243615</v>
      </c>
      <c r="B79" s="32" t="s">
        <v>208</v>
      </c>
      <c r="C79" s="124">
        <v>0.42999999970197678</v>
      </c>
      <c r="D79" s="124">
        <v>1366000</v>
      </c>
      <c r="E79" s="124">
        <v>1749000</v>
      </c>
      <c r="F79" s="124">
        <f>876000+438000</f>
        <v>1314000</v>
      </c>
      <c r="G79" s="124">
        <v>2649000</v>
      </c>
      <c r="H79" s="124">
        <v>0</v>
      </c>
      <c r="I79" s="124">
        <v>0</v>
      </c>
      <c r="J79" s="124">
        <v>0</v>
      </c>
      <c r="K79" s="124">
        <v>0</v>
      </c>
      <c r="L79" s="127">
        <v>0</v>
      </c>
      <c r="M79" s="252">
        <f t="shared" si="31"/>
        <v>1718000.4299999997</v>
      </c>
    </row>
    <row r="80" spans="1:13" ht="14.25" customHeight="1">
      <c r="A80" s="31">
        <v>243625</v>
      </c>
      <c r="B80" s="32" t="s">
        <v>267</v>
      </c>
      <c r="C80" s="124">
        <v>1972.8500000000004</v>
      </c>
      <c r="D80" s="124">
        <v>0</v>
      </c>
      <c r="E80" s="124">
        <v>0</v>
      </c>
      <c r="F80" s="124">
        <v>0</v>
      </c>
      <c r="G80" s="124">
        <v>1023902</v>
      </c>
      <c r="H80" s="124">
        <v>0</v>
      </c>
      <c r="I80" s="124">
        <v>0</v>
      </c>
      <c r="J80" s="124">
        <v>0</v>
      </c>
      <c r="K80" s="124">
        <v>0</v>
      </c>
      <c r="L80" s="127"/>
      <c r="M80" s="252">
        <f t="shared" si="31"/>
        <v>1025874.85</v>
      </c>
    </row>
    <row r="81" spans="1:16" s="49" customFormat="1" ht="14.25" customHeight="1">
      <c r="A81" s="31">
        <v>243626</v>
      </c>
      <c r="B81" s="32" t="s">
        <v>126</v>
      </c>
      <c r="C81" s="124">
        <v>248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124">
        <v>0</v>
      </c>
      <c r="J81" s="124">
        <v>0</v>
      </c>
      <c r="K81" s="124">
        <v>0</v>
      </c>
      <c r="L81" s="127">
        <v>0</v>
      </c>
      <c r="M81" s="252">
        <f t="shared" si="31"/>
        <v>248</v>
      </c>
    </row>
    <row r="82" spans="1:16" s="197" customFormat="1" ht="14.25" customHeight="1">
      <c r="A82" s="31">
        <v>243690</v>
      </c>
      <c r="B82" s="32" t="s">
        <v>127</v>
      </c>
      <c r="C82" s="124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>C82+E82+G82-D82-F82</f>
        <v>0</v>
      </c>
      <c r="J82" s="513">
        <v>0</v>
      </c>
      <c r="K82" s="515">
        <f>E82+G82+I82-F82-H82</f>
        <v>0</v>
      </c>
      <c r="L82" s="127">
        <v>0</v>
      </c>
      <c r="M82" s="252">
        <f t="shared" si="31"/>
        <v>0</v>
      </c>
    </row>
    <row r="83" spans="1:16" s="49" customFormat="1" ht="14.25" customHeight="1">
      <c r="A83" s="29">
        <v>2440</v>
      </c>
      <c r="B83" s="30" t="s">
        <v>35</v>
      </c>
      <c r="C83" s="130">
        <f>+SUM(C84:C91)</f>
        <v>116149916.48</v>
      </c>
      <c r="D83" s="130">
        <f t="shared" ref="D83:M83" si="32">+SUM(D84:D91)</f>
        <v>13775546</v>
      </c>
      <c r="E83" s="130">
        <f t="shared" si="32"/>
        <v>19114571</v>
      </c>
      <c r="F83" s="130">
        <f t="shared" si="32"/>
        <v>23519308</v>
      </c>
      <c r="G83" s="130">
        <f t="shared" si="32"/>
        <v>18493490</v>
      </c>
      <c r="H83" s="130">
        <f t="shared" si="32"/>
        <v>0</v>
      </c>
      <c r="I83" s="130">
        <f t="shared" si="32"/>
        <v>0</v>
      </c>
      <c r="J83" s="130">
        <f t="shared" si="32"/>
        <v>0</v>
      </c>
      <c r="K83" s="130">
        <f t="shared" si="32"/>
        <v>0</v>
      </c>
      <c r="L83" s="130">
        <f t="shared" si="32"/>
        <v>0</v>
      </c>
      <c r="M83" s="255">
        <f t="shared" si="32"/>
        <v>116463123.48</v>
      </c>
      <c r="N83" s="264">
        <f>+M83</f>
        <v>116463123.48</v>
      </c>
      <c r="O83" s="49">
        <v>100</v>
      </c>
      <c r="P83" s="264">
        <f>+N83-N84</f>
        <v>313207</v>
      </c>
    </row>
    <row r="84" spans="1:16" s="197" customFormat="1" ht="14.25" customHeight="1">
      <c r="A84" s="31">
        <v>24408001</v>
      </c>
      <c r="B84" s="35" t="s">
        <v>36</v>
      </c>
      <c r="C84" s="124">
        <v>53618028.859999999</v>
      </c>
      <c r="D84" s="124">
        <v>1867713</v>
      </c>
      <c r="E84" s="124">
        <v>2883858</v>
      </c>
      <c r="F84" s="124">
        <v>3779852</v>
      </c>
      <c r="G84" s="124">
        <v>2703818</v>
      </c>
      <c r="H84" s="124">
        <v>0</v>
      </c>
      <c r="I84" s="124">
        <v>0</v>
      </c>
      <c r="J84" s="124">
        <v>0</v>
      </c>
      <c r="K84" s="124">
        <v>0</v>
      </c>
      <c r="L84" s="127">
        <v>0</v>
      </c>
      <c r="M84" s="252">
        <f t="shared" ref="M84:M91" si="33">+C84-D84+E84-F84+G84-H84+I84-J84+K84</f>
        <v>53558139.859999999</v>
      </c>
      <c r="N84" s="527">
        <f>+C83</f>
        <v>116149916.48</v>
      </c>
      <c r="O84" s="197" t="s">
        <v>334</v>
      </c>
    </row>
    <row r="85" spans="1:16" s="198" customFormat="1" ht="14.25" customHeight="1">
      <c r="A85" s="31">
        <v>24408002</v>
      </c>
      <c r="B85" s="35" t="s">
        <v>37</v>
      </c>
      <c r="C85" s="124">
        <v>50648754.219999999</v>
      </c>
      <c r="D85" s="124">
        <v>2249891</v>
      </c>
      <c r="E85" s="124">
        <v>3060479</v>
      </c>
      <c r="F85" s="124">
        <v>3351680</v>
      </c>
      <c r="G85" s="124">
        <v>2966845</v>
      </c>
      <c r="H85" s="124">
        <v>0</v>
      </c>
      <c r="I85" s="124">
        <v>0</v>
      </c>
      <c r="J85" s="124">
        <v>0</v>
      </c>
      <c r="K85" s="124">
        <v>0</v>
      </c>
      <c r="L85" s="127">
        <v>0</v>
      </c>
      <c r="M85" s="252">
        <f t="shared" si="33"/>
        <v>51074507.219999999</v>
      </c>
      <c r="N85" s="528">
        <f>+N84*O83/N83</f>
        <v>99.731067662757823</v>
      </c>
      <c r="O85" s="197"/>
      <c r="P85" s="197"/>
    </row>
    <row r="86" spans="1:16" s="197" customFormat="1" ht="14.25" customHeight="1">
      <c r="A86" s="31">
        <v>24408003</v>
      </c>
      <c r="B86" s="35" t="s">
        <v>156</v>
      </c>
      <c r="C86" s="124">
        <v>4437900.4800000004</v>
      </c>
      <c r="D86" s="124">
        <v>1883595</v>
      </c>
      <c r="E86" s="124">
        <v>2421608</v>
      </c>
      <c r="F86" s="124">
        <v>3249234</v>
      </c>
      <c r="G86" s="124">
        <v>2479101</v>
      </c>
      <c r="H86" s="124">
        <v>0</v>
      </c>
      <c r="I86" s="124">
        <v>0</v>
      </c>
      <c r="J86" s="124">
        <v>0</v>
      </c>
      <c r="K86" s="124">
        <v>0</v>
      </c>
      <c r="L86" s="127">
        <v>0</v>
      </c>
      <c r="M86" s="252">
        <f t="shared" si="33"/>
        <v>4205780.4800000004</v>
      </c>
      <c r="N86" s="197">
        <v>100</v>
      </c>
    </row>
    <row r="87" spans="1:16" s="197" customFormat="1" ht="14.25" customHeight="1">
      <c r="A87" s="31">
        <v>24408004</v>
      </c>
      <c r="B87" s="35" t="s">
        <v>192</v>
      </c>
      <c r="C87" s="124">
        <v>4548883.92</v>
      </c>
      <c r="D87" s="124">
        <v>6222773</v>
      </c>
      <c r="E87" s="124">
        <v>9197052</v>
      </c>
      <c r="F87" s="124">
        <v>11284243</v>
      </c>
      <c r="G87" s="124">
        <v>8445416</v>
      </c>
      <c r="H87" s="124">
        <v>0</v>
      </c>
      <c r="I87" s="124">
        <v>0</v>
      </c>
      <c r="J87" s="124">
        <v>0</v>
      </c>
      <c r="K87" s="124">
        <v>0</v>
      </c>
      <c r="L87" s="127"/>
      <c r="M87" s="252">
        <f t="shared" si="33"/>
        <v>4684335.92</v>
      </c>
      <c r="N87" s="528">
        <f>+N86-N85</f>
        <v>0.2689323372421768</v>
      </c>
    </row>
    <row r="88" spans="1:16" s="197" customFormat="1" ht="14.25" customHeight="1">
      <c r="A88" s="31">
        <v>24408005</v>
      </c>
      <c r="B88" s="35" t="s">
        <v>198</v>
      </c>
      <c r="C88" s="124">
        <v>2896349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  <c r="I88" s="124">
        <v>0</v>
      </c>
      <c r="J88" s="124">
        <v>0</v>
      </c>
      <c r="K88" s="124">
        <v>0</v>
      </c>
      <c r="L88" s="127"/>
      <c r="M88" s="252">
        <f t="shared" si="33"/>
        <v>2896349</v>
      </c>
    </row>
    <row r="89" spans="1:16" s="197" customFormat="1" ht="14.25" customHeight="1">
      <c r="A89" s="31">
        <v>24408006</v>
      </c>
      <c r="B89" s="35" t="s">
        <v>332</v>
      </c>
      <c r="C89" s="124">
        <v>0</v>
      </c>
      <c r="D89" s="124">
        <v>878775</v>
      </c>
      <c r="E89" s="124">
        <v>878775</v>
      </c>
      <c r="F89" s="124">
        <v>1712689</v>
      </c>
      <c r="G89" s="124">
        <f>1712689+44011</f>
        <v>1756700</v>
      </c>
      <c r="H89" s="124">
        <v>0</v>
      </c>
      <c r="I89" s="124">
        <v>0</v>
      </c>
      <c r="J89" s="124">
        <v>0</v>
      </c>
      <c r="K89" s="124">
        <v>0</v>
      </c>
      <c r="L89" s="127"/>
      <c r="M89" s="252">
        <f t="shared" ref="M89" si="34">+C89-D89+E89-F89+G89-H89+I89-J89+K89</f>
        <v>44011</v>
      </c>
    </row>
    <row r="90" spans="1:16" s="197" customFormat="1" ht="14.25" customHeight="1">
      <c r="A90" s="31">
        <v>244016</v>
      </c>
      <c r="B90" s="35" t="s">
        <v>185</v>
      </c>
      <c r="C90" s="124"/>
      <c r="D90" s="124">
        <v>534700</v>
      </c>
      <c r="E90" s="124">
        <v>534700</v>
      </c>
      <c r="F90" s="124">
        <v>0</v>
      </c>
      <c r="G90" s="124">
        <v>0</v>
      </c>
      <c r="H90" s="124">
        <v>0</v>
      </c>
      <c r="I90" s="124">
        <v>0</v>
      </c>
      <c r="J90" s="124">
        <v>0</v>
      </c>
      <c r="K90" s="124">
        <v>0</v>
      </c>
      <c r="L90" s="127"/>
      <c r="M90" s="252">
        <f t="shared" si="33"/>
        <v>0</v>
      </c>
    </row>
    <row r="91" spans="1:16" s="197" customFormat="1" ht="14.25" customHeight="1">
      <c r="A91" s="31">
        <v>244020</v>
      </c>
      <c r="B91" s="35" t="s">
        <v>256</v>
      </c>
      <c r="C91" s="124">
        <v>0</v>
      </c>
      <c r="D91" s="124">
        <f>13209+124890</f>
        <v>138099</v>
      </c>
      <c r="E91" s="124">
        <f>13209+124890</f>
        <v>138099</v>
      </c>
      <c r="F91" s="124">
        <v>141610</v>
      </c>
      <c r="G91" s="124">
        <v>141610</v>
      </c>
      <c r="H91" s="124">
        <v>0</v>
      </c>
      <c r="I91" s="124">
        <v>0</v>
      </c>
      <c r="J91" s="124">
        <v>0</v>
      </c>
      <c r="K91" s="124">
        <v>0</v>
      </c>
      <c r="L91" s="127"/>
      <c r="M91" s="252">
        <f t="shared" si="33"/>
        <v>0</v>
      </c>
    </row>
    <row r="92" spans="1:16" s="48" customFormat="1" ht="14.25" customHeight="1">
      <c r="A92" s="29">
        <v>2460</v>
      </c>
      <c r="B92" s="30"/>
      <c r="C92" s="130">
        <f>+C93</f>
        <v>0</v>
      </c>
      <c r="D92" s="131">
        <f>+D93</f>
        <v>0</v>
      </c>
      <c r="E92" s="131">
        <f>+E93</f>
        <v>0</v>
      </c>
      <c r="F92" s="131">
        <f t="shared" ref="F92:L92" si="35">+F93</f>
        <v>15969991</v>
      </c>
      <c r="G92" s="131">
        <f t="shared" si="35"/>
        <v>15969991</v>
      </c>
      <c r="H92" s="131">
        <f t="shared" si="35"/>
        <v>0</v>
      </c>
      <c r="I92" s="131">
        <f t="shared" si="35"/>
        <v>0</v>
      </c>
      <c r="J92" s="516">
        <f t="shared" si="35"/>
        <v>0</v>
      </c>
      <c r="K92" s="516">
        <f t="shared" si="35"/>
        <v>0</v>
      </c>
      <c r="L92" s="131">
        <f t="shared" si="35"/>
        <v>0</v>
      </c>
      <c r="M92" s="253">
        <f t="shared" ref="M92" si="36">C92+E92+G92+I92+K92-D92-F92-H92-J92</f>
        <v>0</v>
      </c>
    </row>
    <row r="93" spans="1:16" s="198" customFormat="1" ht="14.25" customHeight="1">
      <c r="A93" s="31">
        <v>246002</v>
      </c>
      <c r="B93" s="32" t="s">
        <v>335</v>
      </c>
      <c r="C93" s="124">
        <v>0</v>
      </c>
      <c r="D93" s="127">
        <v>0</v>
      </c>
      <c r="E93" s="127">
        <v>0</v>
      </c>
      <c r="F93" s="127">
        <v>15969991</v>
      </c>
      <c r="G93" s="127">
        <v>15969991</v>
      </c>
      <c r="H93" s="128">
        <v>0</v>
      </c>
      <c r="I93" s="128">
        <v>0</v>
      </c>
      <c r="J93" s="515">
        <v>0</v>
      </c>
      <c r="K93" s="515">
        <v>0</v>
      </c>
      <c r="L93" s="128">
        <v>0</v>
      </c>
      <c r="M93" s="252">
        <f>+C93-D93+E93-F93+G93-H93+I93-J93+K93</f>
        <v>0</v>
      </c>
    </row>
    <row r="94" spans="1:16" s="198" customFormat="1" ht="14.25" customHeight="1">
      <c r="A94" s="39">
        <v>2490</v>
      </c>
      <c r="B94" s="40" t="s">
        <v>264</v>
      </c>
      <c r="C94" s="125">
        <f t="shared" ref="C94:M94" si="37">+SUM(C95:C101)</f>
        <v>18701877.350000001</v>
      </c>
      <c r="D94" s="125">
        <f t="shared" si="37"/>
        <v>235684473</v>
      </c>
      <c r="E94" s="125">
        <f t="shared" si="37"/>
        <v>234912970</v>
      </c>
      <c r="F94" s="125">
        <f t="shared" si="37"/>
        <v>170295460</v>
      </c>
      <c r="G94" s="125">
        <f t="shared" si="37"/>
        <v>232322122</v>
      </c>
      <c r="H94" s="125">
        <f t="shared" si="37"/>
        <v>0</v>
      </c>
      <c r="I94" s="125">
        <f t="shared" si="37"/>
        <v>0</v>
      </c>
      <c r="J94" s="125">
        <f t="shared" si="37"/>
        <v>0</v>
      </c>
      <c r="K94" s="125">
        <f t="shared" si="37"/>
        <v>0</v>
      </c>
      <c r="L94" s="125">
        <f t="shared" si="37"/>
        <v>0</v>
      </c>
      <c r="M94" s="249">
        <f t="shared" si="37"/>
        <v>79957036.349999994</v>
      </c>
    </row>
    <row r="95" spans="1:16" s="198" customFormat="1" ht="14.25" customHeight="1">
      <c r="A95" s="41">
        <v>249027</v>
      </c>
      <c r="B95" s="33" t="s">
        <v>15</v>
      </c>
      <c r="C95" s="124">
        <v>771503</v>
      </c>
      <c r="D95" s="124">
        <v>3241503</v>
      </c>
      <c r="E95" s="124">
        <v>2470000</v>
      </c>
      <c r="F95" s="124">
        <f>9196335+165000</f>
        <v>9361335</v>
      </c>
      <c r="G95" s="124">
        <f>9196335+165000</f>
        <v>9361335</v>
      </c>
      <c r="H95" s="124">
        <v>0</v>
      </c>
      <c r="I95" s="124">
        <v>0</v>
      </c>
      <c r="J95" s="124">
        <v>0</v>
      </c>
      <c r="K95" s="124">
        <v>0</v>
      </c>
      <c r="L95" s="127">
        <v>0</v>
      </c>
      <c r="M95" s="252">
        <f t="shared" ref="M95:M101" si="38">+C95-D95+E95-F95+G95-H95+I95-J95+K95</f>
        <v>0</v>
      </c>
    </row>
    <row r="96" spans="1:16" s="198" customFormat="1" ht="14.25" customHeight="1">
      <c r="A96" s="41">
        <v>249028</v>
      </c>
      <c r="B96" s="33" t="s">
        <v>121</v>
      </c>
      <c r="C96" s="124">
        <v>0</v>
      </c>
      <c r="D96" s="124">
        <v>8554110</v>
      </c>
      <c r="E96" s="124">
        <v>8554110</v>
      </c>
      <c r="F96" s="124">
        <v>0</v>
      </c>
      <c r="G96" s="124">
        <v>0</v>
      </c>
      <c r="H96" s="124">
        <v>0</v>
      </c>
      <c r="I96" s="124">
        <v>0</v>
      </c>
      <c r="J96" s="124">
        <v>0</v>
      </c>
      <c r="K96" s="124">
        <v>0</v>
      </c>
      <c r="L96" s="127">
        <v>0</v>
      </c>
      <c r="M96" s="252">
        <f t="shared" si="38"/>
        <v>0</v>
      </c>
    </row>
    <row r="97" spans="1:13" s="198" customFormat="1" ht="14.25" customHeight="1">
      <c r="A97" s="41">
        <v>249050</v>
      </c>
      <c r="B97" s="33" t="s">
        <v>280</v>
      </c>
      <c r="C97" s="124"/>
      <c r="D97" s="124">
        <v>8070300</v>
      </c>
      <c r="E97" s="124">
        <v>8070300</v>
      </c>
      <c r="F97" s="124">
        <v>8387100</v>
      </c>
      <c r="G97" s="124">
        <v>8387100</v>
      </c>
      <c r="H97" s="124">
        <v>0</v>
      </c>
      <c r="I97" s="124">
        <v>0</v>
      </c>
      <c r="J97" s="124">
        <v>0</v>
      </c>
      <c r="K97" s="124">
        <v>0</v>
      </c>
      <c r="L97" s="127"/>
      <c r="M97" s="263">
        <f t="shared" si="38"/>
        <v>0</v>
      </c>
    </row>
    <row r="98" spans="1:13" s="198" customFormat="1" ht="14.25" customHeight="1">
      <c r="A98" s="41">
        <v>249051</v>
      </c>
      <c r="B98" s="33" t="s">
        <v>124</v>
      </c>
      <c r="C98" s="124">
        <v>0</v>
      </c>
      <c r="D98" s="124">
        <v>3738248</v>
      </c>
      <c r="E98" s="124">
        <v>3738248</v>
      </c>
      <c r="F98" s="124">
        <v>4339592</v>
      </c>
      <c r="G98" s="124">
        <v>4339592</v>
      </c>
      <c r="H98" s="124">
        <v>0</v>
      </c>
      <c r="I98" s="124">
        <v>0</v>
      </c>
      <c r="J98" s="124">
        <v>0</v>
      </c>
      <c r="K98" s="124">
        <v>0</v>
      </c>
      <c r="L98" s="127"/>
      <c r="M98" s="252">
        <f t="shared" si="38"/>
        <v>0</v>
      </c>
    </row>
    <row r="99" spans="1:13" s="198" customFormat="1" ht="14.25" customHeight="1">
      <c r="A99" s="41">
        <v>249054</v>
      </c>
      <c r="B99" s="33" t="s">
        <v>23</v>
      </c>
      <c r="C99" s="124">
        <v>0</v>
      </c>
      <c r="D99" s="124">
        <v>160887524</v>
      </c>
      <c r="E99" s="124">
        <v>160887524</v>
      </c>
      <c r="F99" s="124">
        <v>122114645</v>
      </c>
      <c r="G99" s="124">
        <v>184141307</v>
      </c>
      <c r="H99" s="124">
        <v>0</v>
      </c>
      <c r="I99" s="124">
        <v>0</v>
      </c>
      <c r="J99" s="124">
        <v>0</v>
      </c>
      <c r="K99" s="124">
        <v>0</v>
      </c>
      <c r="L99" s="127">
        <v>0</v>
      </c>
      <c r="M99" s="252">
        <f t="shared" si="38"/>
        <v>62026662</v>
      </c>
    </row>
    <row r="100" spans="1:13" s="198" customFormat="1" ht="14.25" customHeight="1">
      <c r="A100" s="41">
        <v>249058</v>
      </c>
      <c r="B100" s="33" t="s">
        <v>263</v>
      </c>
      <c r="C100" s="124">
        <v>0</v>
      </c>
      <c r="D100" s="124">
        <v>26092788</v>
      </c>
      <c r="E100" s="124">
        <v>26092788</v>
      </c>
      <c r="F100" s="124">
        <v>26092788</v>
      </c>
      <c r="G100" s="124">
        <v>26092788</v>
      </c>
      <c r="H100" s="124">
        <v>0</v>
      </c>
      <c r="I100" s="124">
        <v>0</v>
      </c>
      <c r="J100" s="124">
        <v>0</v>
      </c>
      <c r="K100" s="124">
        <v>0</v>
      </c>
      <c r="L100" s="124">
        <v>0</v>
      </c>
      <c r="M100" s="252">
        <f t="shared" si="38"/>
        <v>0</v>
      </c>
    </row>
    <row r="101" spans="1:13" s="198" customFormat="1" ht="14.25" customHeight="1">
      <c r="A101" s="41">
        <v>249090</v>
      </c>
      <c r="B101" s="33" t="s">
        <v>252</v>
      </c>
      <c r="C101" s="124">
        <v>17930374.350000001</v>
      </c>
      <c r="D101" s="124">
        <v>25100000</v>
      </c>
      <c r="E101" s="124">
        <v>25100000</v>
      </c>
      <c r="F101" s="124">
        <v>0</v>
      </c>
      <c r="G101" s="124">
        <v>0</v>
      </c>
      <c r="H101" s="124">
        <v>0</v>
      </c>
      <c r="I101" s="124">
        <v>0</v>
      </c>
      <c r="J101" s="124">
        <v>0</v>
      </c>
      <c r="K101" s="124">
        <v>0</v>
      </c>
      <c r="L101" s="127">
        <v>0</v>
      </c>
      <c r="M101" s="252">
        <f t="shared" si="38"/>
        <v>17930374.350000001</v>
      </c>
    </row>
    <row r="102" spans="1:13" ht="17.25" customHeight="1">
      <c r="A102" s="27">
        <v>25</v>
      </c>
      <c r="B102" s="28" t="s">
        <v>270</v>
      </c>
      <c r="C102" s="130">
        <f>+C103</f>
        <v>78513828</v>
      </c>
      <c r="D102" s="131">
        <f>+D103</f>
        <v>327992814</v>
      </c>
      <c r="E102" s="131">
        <f t="shared" ref="E102:L102" si="39">+E103</f>
        <v>249478986</v>
      </c>
      <c r="F102" s="131">
        <f t="shared" si="39"/>
        <v>292037531</v>
      </c>
      <c r="G102" s="131">
        <f t="shared" si="39"/>
        <v>292037531</v>
      </c>
      <c r="H102" s="131">
        <f t="shared" si="39"/>
        <v>0</v>
      </c>
      <c r="I102" s="131">
        <f t="shared" si="39"/>
        <v>0</v>
      </c>
      <c r="J102" s="131">
        <f t="shared" si="39"/>
        <v>0</v>
      </c>
      <c r="K102" s="131">
        <f t="shared" si="39"/>
        <v>0</v>
      </c>
      <c r="L102" s="131">
        <f t="shared" si="39"/>
        <v>0</v>
      </c>
      <c r="M102" s="253">
        <f t="shared" ref="M102" si="40">+M103</f>
        <v>0</v>
      </c>
    </row>
    <row r="103" spans="1:13" s="49" customFormat="1" ht="14.25" customHeight="1">
      <c r="A103" s="29">
        <v>2511</v>
      </c>
      <c r="B103" s="30" t="s">
        <v>271</v>
      </c>
      <c r="C103" s="130">
        <f>+SUM(C104:C116)</f>
        <v>78513828</v>
      </c>
      <c r="D103" s="130">
        <f t="shared" ref="D103:M103" si="41">+SUM(D104:D116)</f>
        <v>327992814</v>
      </c>
      <c r="E103" s="130">
        <f t="shared" si="41"/>
        <v>249478986</v>
      </c>
      <c r="F103" s="130">
        <f t="shared" si="41"/>
        <v>292037531</v>
      </c>
      <c r="G103" s="130">
        <f t="shared" si="41"/>
        <v>292037531</v>
      </c>
      <c r="H103" s="130">
        <f t="shared" ref="H103:I103" si="42">+SUM(H104:H116)</f>
        <v>0</v>
      </c>
      <c r="I103" s="130">
        <f t="shared" si="42"/>
        <v>0</v>
      </c>
      <c r="J103" s="130">
        <f t="shared" si="41"/>
        <v>0</v>
      </c>
      <c r="K103" s="130">
        <f t="shared" si="41"/>
        <v>0</v>
      </c>
      <c r="L103" s="130">
        <f t="shared" si="41"/>
        <v>0</v>
      </c>
      <c r="M103" s="255">
        <f t="shared" si="41"/>
        <v>0</v>
      </c>
    </row>
    <row r="104" spans="1:13" s="197" customFormat="1" ht="14.25" customHeight="1">
      <c r="A104" s="31">
        <v>251101</v>
      </c>
      <c r="B104" s="32" t="s">
        <v>128</v>
      </c>
      <c r="C104" s="124">
        <v>0</v>
      </c>
      <c r="D104" s="124">
        <v>135773279</v>
      </c>
      <c r="E104" s="124">
        <v>135773279</v>
      </c>
      <c r="F104" s="124">
        <v>166268592</v>
      </c>
      <c r="G104" s="124">
        <v>166268592</v>
      </c>
      <c r="H104" s="124">
        <v>0</v>
      </c>
      <c r="I104" s="124">
        <v>0</v>
      </c>
      <c r="J104" s="124">
        <v>0</v>
      </c>
      <c r="K104" s="124">
        <v>0</v>
      </c>
      <c r="L104" s="127">
        <v>0</v>
      </c>
      <c r="M104" s="252">
        <f t="shared" ref="M104:M116" si="43">+C104-D104+E104-F104+G104-H104+I104-J104+K104</f>
        <v>0</v>
      </c>
    </row>
    <row r="105" spans="1:13" ht="14.25" customHeight="1">
      <c r="A105" s="31">
        <v>251102</v>
      </c>
      <c r="B105" s="32" t="s">
        <v>44</v>
      </c>
      <c r="C105" s="124">
        <v>63059552</v>
      </c>
      <c r="D105" s="124">
        <v>63059552</v>
      </c>
      <c r="E105" s="124">
        <v>0</v>
      </c>
      <c r="F105" s="124">
        <v>0</v>
      </c>
      <c r="G105" s="124">
        <v>0</v>
      </c>
      <c r="H105" s="124">
        <v>0</v>
      </c>
      <c r="I105" s="124">
        <v>0</v>
      </c>
      <c r="J105" s="124">
        <v>0</v>
      </c>
      <c r="K105" s="124">
        <v>0</v>
      </c>
      <c r="L105" s="127">
        <v>0</v>
      </c>
      <c r="M105" s="252">
        <f t="shared" si="43"/>
        <v>0</v>
      </c>
    </row>
    <row r="106" spans="1:13" ht="14.25" customHeight="1">
      <c r="A106" s="31">
        <v>251103</v>
      </c>
      <c r="B106" s="32" t="s">
        <v>82</v>
      </c>
      <c r="C106" s="124">
        <v>7562800</v>
      </c>
      <c r="D106" s="526">
        <v>7562800</v>
      </c>
      <c r="E106" s="124">
        <v>0</v>
      </c>
      <c r="F106" s="124">
        <v>0</v>
      </c>
      <c r="G106" s="124">
        <v>0</v>
      </c>
      <c r="H106" s="124">
        <v>0</v>
      </c>
      <c r="I106" s="124">
        <v>0</v>
      </c>
      <c r="J106" s="124">
        <v>0</v>
      </c>
      <c r="K106" s="124">
        <v>0</v>
      </c>
      <c r="L106" s="127">
        <v>0</v>
      </c>
      <c r="M106" s="252">
        <f t="shared" si="43"/>
        <v>0</v>
      </c>
    </row>
    <row r="107" spans="1:13" ht="14.25" customHeight="1">
      <c r="A107" s="31">
        <v>251104</v>
      </c>
      <c r="B107" s="32" t="s">
        <v>79</v>
      </c>
      <c r="C107" s="124">
        <v>2818436</v>
      </c>
      <c r="D107" s="124">
        <v>11794670</v>
      </c>
      <c r="E107" s="124">
        <v>8976234</v>
      </c>
      <c r="F107" s="124">
        <v>15024848</v>
      </c>
      <c r="G107" s="124">
        <v>15024848</v>
      </c>
      <c r="H107" s="124">
        <v>0</v>
      </c>
      <c r="I107" s="124">
        <v>0</v>
      </c>
      <c r="J107" s="124">
        <v>0</v>
      </c>
      <c r="K107" s="124">
        <v>0</v>
      </c>
      <c r="L107" s="127">
        <v>0</v>
      </c>
      <c r="M107" s="252">
        <f t="shared" si="43"/>
        <v>0</v>
      </c>
    </row>
    <row r="108" spans="1:13" s="200" customFormat="1" ht="14.25" customHeight="1">
      <c r="A108" s="31">
        <v>251105</v>
      </c>
      <c r="B108" s="32" t="s">
        <v>129</v>
      </c>
      <c r="C108" s="124">
        <v>2818436</v>
      </c>
      <c r="D108" s="124">
        <v>8044469</v>
      </c>
      <c r="E108" s="124">
        <v>5226033</v>
      </c>
      <c r="F108" s="124">
        <v>10134016</v>
      </c>
      <c r="G108" s="124">
        <v>10134016</v>
      </c>
      <c r="H108" s="124">
        <v>0</v>
      </c>
      <c r="I108" s="124">
        <v>0</v>
      </c>
      <c r="J108" s="124">
        <v>0</v>
      </c>
      <c r="K108" s="124">
        <v>0</v>
      </c>
      <c r="L108" s="127">
        <v>0</v>
      </c>
      <c r="M108" s="252">
        <f t="shared" si="43"/>
        <v>0</v>
      </c>
    </row>
    <row r="109" spans="1:13" s="198" customFormat="1" ht="14.25" customHeight="1">
      <c r="A109" s="31">
        <v>251106</v>
      </c>
      <c r="B109" s="32" t="s">
        <v>84</v>
      </c>
      <c r="C109" s="124">
        <v>0</v>
      </c>
      <c r="D109" s="124">
        <v>0</v>
      </c>
      <c r="E109" s="124">
        <v>0</v>
      </c>
      <c r="F109" s="124">
        <v>29175504</v>
      </c>
      <c r="G109" s="124">
        <v>29175504</v>
      </c>
      <c r="H109" s="124">
        <v>0</v>
      </c>
      <c r="I109" s="124">
        <v>0</v>
      </c>
      <c r="J109" s="124">
        <v>0</v>
      </c>
      <c r="K109" s="124">
        <v>0</v>
      </c>
      <c r="L109" s="127">
        <v>0</v>
      </c>
      <c r="M109" s="252">
        <f t="shared" si="43"/>
        <v>0</v>
      </c>
    </row>
    <row r="110" spans="1:13" s="197" customFormat="1" ht="14.25" customHeight="1">
      <c r="A110" s="31">
        <v>251107</v>
      </c>
      <c r="B110" s="32" t="s">
        <v>78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  <c r="I110" s="124">
        <v>0</v>
      </c>
      <c r="J110" s="124">
        <v>0</v>
      </c>
      <c r="K110" s="124">
        <v>0</v>
      </c>
      <c r="L110" s="127">
        <v>0</v>
      </c>
      <c r="M110" s="252">
        <f t="shared" si="43"/>
        <v>0</v>
      </c>
    </row>
    <row r="111" spans="1:13" s="197" customFormat="1" ht="14.25" customHeight="1">
      <c r="A111" s="31">
        <v>251108</v>
      </c>
      <c r="B111" s="32" t="s">
        <v>52</v>
      </c>
      <c r="C111" s="124">
        <v>0</v>
      </c>
      <c r="D111" s="124">
        <v>35954053</v>
      </c>
      <c r="E111" s="124">
        <v>35954053</v>
      </c>
      <c r="F111" s="124">
        <v>4136307</v>
      </c>
      <c r="G111" s="124">
        <v>4136307</v>
      </c>
      <c r="H111" s="124">
        <v>0</v>
      </c>
      <c r="I111" s="124">
        <v>0</v>
      </c>
      <c r="J111" s="124">
        <v>0</v>
      </c>
      <c r="K111" s="124">
        <v>0</v>
      </c>
      <c r="L111" s="127">
        <v>0</v>
      </c>
      <c r="M111" s="252">
        <f t="shared" ref="M111" si="44">+C111-D111+E111-F111+G111-H111+I111-J111+K111</f>
        <v>0</v>
      </c>
    </row>
    <row r="112" spans="1:13" s="197" customFormat="1" ht="14.25" customHeight="1">
      <c r="A112" s="31">
        <v>251109</v>
      </c>
      <c r="B112" s="32" t="s">
        <v>214</v>
      </c>
      <c r="C112" s="124">
        <v>2254604</v>
      </c>
      <c r="D112" s="124">
        <v>6350092</v>
      </c>
      <c r="E112" s="124">
        <v>4095488</v>
      </c>
      <c r="F112" s="124">
        <v>7314164</v>
      </c>
      <c r="G112" s="124">
        <v>7314164</v>
      </c>
      <c r="H112" s="124">
        <v>0</v>
      </c>
      <c r="I112" s="124">
        <v>0</v>
      </c>
      <c r="J112" s="124">
        <v>0</v>
      </c>
      <c r="K112" s="124">
        <v>0</v>
      </c>
      <c r="L112" s="127"/>
      <c r="M112" s="252">
        <f t="shared" si="43"/>
        <v>0</v>
      </c>
    </row>
    <row r="113" spans="1:61" s="197" customFormat="1" ht="14.25" customHeight="1">
      <c r="A113" s="31">
        <v>251111</v>
      </c>
      <c r="B113" s="33" t="s">
        <v>272</v>
      </c>
      <c r="C113" s="124">
        <v>0</v>
      </c>
      <c r="D113" s="124">
        <v>3532600</v>
      </c>
      <c r="E113" s="124">
        <v>3532600</v>
      </c>
      <c r="F113" s="124">
        <v>4086600</v>
      </c>
      <c r="G113" s="124">
        <v>4086600</v>
      </c>
      <c r="H113" s="124">
        <v>0</v>
      </c>
      <c r="I113" s="124">
        <v>0</v>
      </c>
      <c r="J113" s="124">
        <v>0</v>
      </c>
      <c r="K113" s="124">
        <v>0</v>
      </c>
      <c r="L113" s="127"/>
      <c r="M113" s="252">
        <f t="shared" si="43"/>
        <v>0</v>
      </c>
      <c r="N113" s="198"/>
    </row>
    <row r="114" spans="1:61" s="197" customFormat="1" ht="14.25" customHeight="1">
      <c r="A114" s="31">
        <v>251122</v>
      </c>
      <c r="B114" s="33" t="s">
        <v>17</v>
      </c>
      <c r="C114" s="124">
        <v>0</v>
      </c>
      <c r="D114" s="124">
        <v>28332699</v>
      </c>
      <c r="E114" s="124">
        <v>28332699</v>
      </c>
      <c r="F114" s="124">
        <v>28226100</v>
      </c>
      <c r="G114" s="124">
        <v>28226100</v>
      </c>
      <c r="H114" s="124">
        <v>0</v>
      </c>
      <c r="I114" s="124">
        <v>0</v>
      </c>
      <c r="J114" s="124">
        <v>0</v>
      </c>
      <c r="K114" s="124">
        <v>0</v>
      </c>
      <c r="L114" s="127"/>
      <c r="M114" s="252">
        <f t="shared" si="43"/>
        <v>0</v>
      </c>
      <c r="N114" s="198"/>
    </row>
    <row r="115" spans="1:61" s="197" customFormat="1" ht="14.25" customHeight="1">
      <c r="A115" s="31">
        <v>251123</v>
      </c>
      <c r="B115" s="33" t="s">
        <v>19</v>
      </c>
      <c r="C115" s="124">
        <v>0</v>
      </c>
      <c r="D115" s="124">
        <v>21024900</v>
      </c>
      <c r="E115" s="526">
        <v>21024900</v>
      </c>
      <c r="F115" s="124">
        <v>20962200</v>
      </c>
      <c r="G115" s="124">
        <v>20962200</v>
      </c>
      <c r="H115" s="124">
        <v>0</v>
      </c>
      <c r="I115" s="124">
        <v>0</v>
      </c>
      <c r="J115" s="124">
        <v>0</v>
      </c>
      <c r="K115" s="124">
        <v>0</v>
      </c>
      <c r="L115" s="127"/>
      <c r="M115" s="252">
        <f t="shared" si="43"/>
        <v>0</v>
      </c>
      <c r="N115" s="198"/>
    </row>
    <row r="116" spans="1:61" s="197" customFormat="1" ht="14.25" customHeight="1">
      <c r="A116" s="31">
        <v>251124</v>
      </c>
      <c r="B116" s="33" t="s">
        <v>21</v>
      </c>
      <c r="C116" s="124">
        <v>0</v>
      </c>
      <c r="D116" s="124">
        <v>6563700</v>
      </c>
      <c r="E116" s="124">
        <v>6563700</v>
      </c>
      <c r="F116" s="124">
        <v>6709200</v>
      </c>
      <c r="G116" s="124">
        <v>6709200</v>
      </c>
      <c r="H116" s="124">
        <v>0</v>
      </c>
      <c r="I116" s="124">
        <v>0</v>
      </c>
      <c r="J116" s="124">
        <v>0</v>
      </c>
      <c r="K116" s="124">
        <v>0</v>
      </c>
      <c r="L116" s="127"/>
      <c r="M116" s="252">
        <f t="shared" si="43"/>
        <v>0</v>
      </c>
      <c r="N116" s="198"/>
    </row>
    <row r="117" spans="1:61" s="48" customFormat="1" ht="14.25" customHeight="1">
      <c r="A117" s="27">
        <v>27</v>
      </c>
      <c r="B117" s="28" t="s">
        <v>130</v>
      </c>
      <c r="C117" s="130">
        <f>+C118</f>
        <v>0</v>
      </c>
      <c r="D117" s="131">
        <f>D118</f>
        <v>0</v>
      </c>
      <c r="E117" s="131">
        <f>E118</f>
        <v>0</v>
      </c>
      <c r="F117" s="131">
        <v>0</v>
      </c>
      <c r="G117" s="131">
        <v>0</v>
      </c>
      <c r="H117" s="131">
        <f t="shared" ref="H117:M117" si="45">+H118</f>
        <v>0</v>
      </c>
      <c r="I117" s="131">
        <f t="shared" si="45"/>
        <v>0</v>
      </c>
      <c r="J117" s="516">
        <f t="shared" si="45"/>
        <v>0</v>
      </c>
      <c r="K117" s="516">
        <f t="shared" si="45"/>
        <v>0</v>
      </c>
      <c r="L117" s="131">
        <f t="shared" si="45"/>
        <v>0</v>
      </c>
      <c r="M117" s="253">
        <f t="shared" si="45"/>
        <v>0</v>
      </c>
    </row>
    <row r="118" spans="1:61" s="49" customFormat="1" ht="14.25" customHeight="1">
      <c r="A118" s="29">
        <v>2715</v>
      </c>
      <c r="B118" s="30" t="s">
        <v>131</v>
      </c>
      <c r="C118" s="130">
        <f>+C119+C120</f>
        <v>0</v>
      </c>
      <c r="D118" s="131">
        <f t="shared" ref="D118:M118" si="46">SUM(D119:D120)</f>
        <v>0</v>
      </c>
      <c r="E118" s="131">
        <f t="shared" si="46"/>
        <v>0</v>
      </c>
      <c r="F118" s="131">
        <f t="shared" si="46"/>
        <v>0</v>
      </c>
      <c r="G118" s="131">
        <f t="shared" si="46"/>
        <v>0</v>
      </c>
      <c r="H118" s="131">
        <f t="shared" si="46"/>
        <v>0</v>
      </c>
      <c r="I118" s="131">
        <f t="shared" si="46"/>
        <v>0</v>
      </c>
      <c r="J118" s="516">
        <f t="shared" si="46"/>
        <v>0</v>
      </c>
      <c r="K118" s="516">
        <f t="shared" si="46"/>
        <v>0</v>
      </c>
      <c r="L118" s="131">
        <f t="shared" si="46"/>
        <v>0</v>
      </c>
      <c r="M118" s="253">
        <f t="shared" si="46"/>
        <v>0</v>
      </c>
    </row>
    <row r="119" spans="1:61" s="200" customFormat="1" ht="14.25" customHeight="1">
      <c r="A119" s="31">
        <v>270105</v>
      </c>
      <c r="B119" s="32" t="s">
        <v>240</v>
      </c>
      <c r="C119" s="124">
        <v>0</v>
      </c>
      <c r="D119" s="124">
        <v>0</v>
      </c>
      <c r="E119" s="128">
        <v>0</v>
      </c>
      <c r="F119" s="128">
        <v>0</v>
      </c>
      <c r="G119" s="127">
        <v>0</v>
      </c>
      <c r="H119" s="127">
        <v>0</v>
      </c>
      <c r="I119" s="128">
        <v>0</v>
      </c>
      <c r="J119" s="513">
        <v>0</v>
      </c>
      <c r="K119" s="515">
        <v>0</v>
      </c>
      <c r="L119" s="127">
        <v>0</v>
      </c>
      <c r="M119" s="252">
        <f t="shared" ref="M119:M120" si="47">+C119-D119+E119-F119+G119-H119+I119-J119+K119</f>
        <v>0</v>
      </c>
    </row>
    <row r="120" spans="1:61" s="49" customFormat="1" ht="14.25" customHeight="1">
      <c r="A120" s="31">
        <v>271506</v>
      </c>
      <c r="B120" s="32" t="s">
        <v>77</v>
      </c>
      <c r="C120" s="124">
        <v>0</v>
      </c>
      <c r="D120" s="128">
        <v>0</v>
      </c>
      <c r="E120" s="128">
        <v>0</v>
      </c>
      <c r="F120" s="128">
        <v>0</v>
      </c>
      <c r="G120" s="127">
        <v>0</v>
      </c>
      <c r="H120" s="127">
        <v>0</v>
      </c>
      <c r="I120" s="128">
        <f>C120+E120+G120-D120-F120</f>
        <v>0</v>
      </c>
      <c r="J120" s="513">
        <v>0</v>
      </c>
      <c r="K120" s="515">
        <f>E120+G120+I120-F120-H120</f>
        <v>0</v>
      </c>
      <c r="L120" s="127">
        <v>0</v>
      </c>
      <c r="M120" s="252">
        <f t="shared" si="47"/>
        <v>0</v>
      </c>
    </row>
    <row r="121" spans="1:61" s="66" customFormat="1" ht="14.25" customHeight="1">
      <c r="A121" s="75">
        <v>3</v>
      </c>
      <c r="B121" s="76" t="s">
        <v>47</v>
      </c>
      <c r="C121" s="133">
        <f>+C122</f>
        <v>11637136953.121111</v>
      </c>
      <c r="D121" s="133">
        <f>+D122</f>
        <v>0</v>
      </c>
      <c r="E121" s="133">
        <f t="shared" ref="E121:L121" si="48">+E122</f>
        <v>0</v>
      </c>
      <c r="F121" s="133">
        <f t="shared" si="48"/>
        <v>0</v>
      </c>
      <c r="G121" s="133">
        <f t="shared" si="48"/>
        <v>0</v>
      </c>
      <c r="H121" s="266">
        <f t="shared" si="48"/>
        <v>0</v>
      </c>
      <c r="I121" s="267">
        <f t="shared" si="48"/>
        <v>0</v>
      </c>
      <c r="J121" s="266">
        <f t="shared" si="48"/>
        <v>0</v>
      </c>
      <c r="K121" s="267">
        <f>+K122</f>
        <v>0</v>
      </c>
      <c r="L121" s="266">
        <f t="shared" si="48"/>
        <v>0</v>
      </c>
      <c r="M121" s="256">
        <f>+M122</f>
        <v>11637136953.121111</v>
      </c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</row>
    <row r="122" spans="1:61" s="48" customFormat="1" ht="14.25" customHeight="1">
      <c r="A122" s="27">
        <v>32</v>
      </c>
      <c r="B122" s="28" t="s">
        <v>132</v>
      </c>
      <c r="C122" s="130">
        <f t="shared" ref="C122:M122" si="49">+C123+C127+C130</f>
        <v>11637136953.121111</v>
      </c>
      <c r="D122" s="131">
        <f t="shared" si="49"/>
        <v>0</v>
      </c>
      <c r="E122" s="131">
        <f t="shared" si="49"/>
        <v>0</v>
      </c>
      <c r="F122" s="131">
        <f t="shared" si="49"/>
        <v>0</v>
      </c>
      <c r="G122" s="131">
        <f t="shared" si="49"/>
        <v>0</v>
      </c>
      <c r="H122" s="131">
        <f t="shared" ref="H122:I122" si="50">+H123+H127+H130</f>
        <v>0</v>
      </c>
      <c r="I122" s="131">
        <f t="shared" si="50"/>
        <v>0</v>
      </c>
      <c r="J122" s="131">
        <f t="shared" si="49"/>
        <v>0</v>
      </c>
      <c r="K122" s="131">
        <f t="shared" si="49"/>
        <v>0</v>
      </c>
      <c r="L122" s="131">
        <f t="shared" si="49"/>
        <v>0</v>
      </c>
      <c r="M122" s="253">
        <f t="shared" si="49"/>
        <v>11637136953.121111</v>
      </c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</row>
    <row r="123" spans="1:61" s="49" customFormat="1" ht="14.25" customHeight="1">
      <c r="A123" s="29">
        <v>3204</v>
      </c>
      <c r="B123" s="30" t="s">
        <v>49</v>
      </c>
      <c r="C123" s="130">
        <f>+C124+C125+C126</f>
        <v>132494500</v>
      </c>
      <c r="D123" s="131">
        <f t="shared" ref="D123:M123" si="51">SUM(D124:D126)</f>
        <v>0</v>
      </c>
      <c r="E123" s="131">
        <f t="shared" si="51"/>
        <v>0</v>
      </c>
      <c r="F123" s="131">
        <f t="shared" si="51"/>
        <v>0</v>
      </c>
      <c r="G123" s="131">
        <f t="shared" si="51"/>
        <v>0</v>
      </c>
      <c r="H123" s="131">
        <f t="shared" ref="H123:I123" si="52">SUM(H124:H126)</f>
        <v>0</v>
      </c>
      <c r="I123" s="131">
        <f t="shared" si="52"/>
        <v>0</v>
      </c>
      <c r="J123" s="131">
        <f t="shared" si="51"/>
        <v>0</v>
      </c>
      <c r="K123" s="131">
        <f t="shared" si="51"/>
        <v>0</v>
      </c>
      <c r="L123" s="131">
        <f t="shared" si="51"/>
        <v>0</v>
      </c>
      <c r="M123" s="253">
        <f t="shared" si="51"/>
        <v>132494500</v>
      </c>
    </row>
    <row r="124" spans="1:61" s="49" customFormat="1" ht="14.25" customHeight="1">
      <c r="A124" s="31">
        <v>320401</v>
      </c>
      <c r="B124" s="32" t="s">
        <v>51</v>
      </c>
      <c r="C124" s="124">
        <v>150000000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v>0</v>
      </c>
      <c r="J124" s="127">
        <v>0</v>
      </c>
      <c r="K124" s="128">
        <v>0</v>
      </c>
      <c r="L124" s="127">
        <v>0</v>
      </c>
      <c r="M124" s="252">
        <f>+C124-D124+E124-F124+G124-H124+I124-J124+K124</f>
        <v>150000000</v>
      </c>
    </row>
    <row r="125" spans="1:61" ht="14.25" customHeight="1">
      <c r="A125" s="31">
        <v>320402</v>
      </c>
      <c r="B125" s="32" t="s">
        <v>53</v>
      </c>
      <c r="C125" s="124">
        <v>-10500000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v>0</v>
      </c>
      <c r="J125" s="127">
        <v>0</v>
      </c>
      <c r="K125" s="128">
        <v>0</v>
      </c>
      <c r="L125" s="127">
        <v>0</v>
      </c>
      <c r="M125" s="252">
        <f t="shared" ref="M125:M126" si="53">+C125-D125+E125-F125+G125-H125+I125-J125+K125</f>
        <v>-10500000</v>
      </c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</row>
    <row r="126" spans="1:61" s="49" customFormat="1" ht="14.25" customHeight="1">
      <c r="A126" s="31">
        <v>320403</v>
      </c>
      <c r="B126" s="32" t="s">
        <v>54</v>
      </c>
      <c r="C126" s="124">
        <v>-7005500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v>0</v>
      </c>
      <c r="J126" s="127">
        <v>0</v>
      </c>
      <c r="K126" s="128">
        <v>0</v>
      </c>
      <c r="L126" s="127">
        <v>0</v>
      </c>
      <c r="M126" s="252">
        <f t="shared" si="53"/>
        <v>-7005500</v>
      </c>
    </row>
    <row r="127" spans="1:61" s="49" customFormat="1" ht="14.25" customHeight="1">
      <c r="A127" s="29">
        <v>3230</v>
      </c>
      <c r="B127" s="30" t="s">
        <v>55</v>
      </c>
      <c r="C127" s="130">
        <f>+C129+C128</f>
        <v>11424781977.121111</v>
      </c>
      <c r="D127" s="131">
        <f t="shared" ref="D127:M127" si="54">SUM(D128:D129)</f>
        <v>0</v>
      </c>
      <c r="E127" s="131">
        <f t="shared" si="54"/>
        <v>0</v>
      </c>
      <c r="F127" s="131">
        <f t="shared" si="54"/>
        <v>0</v>
      </c>
      <c r="G127" s="131">
        <f t="shared" si="54"/>
        <v>0</v>
      </c>
      <c r="H127" s="131">
        <f t="shared" si="54"/>
        <v>0</v>
      </c>
      <c r="I127" s="131">
        <f t="shared" si="54"/>
        <v>0</v>
      </c>
      <c r="J127" s="131">
        <f t="shared" si="54"/>
        <v>0</v>
      </c>
      <c r="K127" s="131">
        <f t="shared" si="54"/>
        <v>0</v>
      </c>
      <c r="L127" s="131">
        <f t="shared" si="54"/>
        <v>0</v>
      </c>
      <c r="M127" s="253">
        <f t="shared" si="54"/>
        <v>11424781977.121111</v>
      </c>
    </row>
    <row r="128" spans="1:61" s="49" customFormat="1" ht="14.25" customHeight="1">
      <c r="A128" s="31">
        <v>323001</v>
      </c>
      <c r="B128" s="32" t="s">
        <v>133</v>
      </c>
      <c r="C128" s="124">
        <v>10719290204.531111</v>
      </c>
      <c r="D128" s="127">
        <v>0</v>
      </c>
      <c r="E128" s="127">
        <v>0</v>
      </c>
      <c r="F128" s="124">
        <v>0</v>
      </c>
      <c r="G128" s="124">
        <v>0</v>
      </c>
      <c r="H128" s="124">
        <v>0</v>
      </c>
      <c r="I128" s="124">
        <v>0</v>
      </c>
      <c r="J128" s="124">
        <v>0</v>
      </c>
      <c r="K128" s="124">
        <v>0</v>
      </c>
      <c r="L128" s="127">
        <v>0</v>
      </c>
      <c r="M128" s="252">
        <f t="shared" ref="M128" si="55">+C128-D128+E128-F128+G128-H128+I128-J128+K128</f>
        <v>10719290204.531111</v>
      </c>
      <c r="N128" s="264">
        <f>+M128+M130</f>
        <v>10799150680.531111</v>
      </c>
    </row>
    <row r="129" spans="1:61" ht="14.25" customHeight="1">
      <c r="A129" s="31">
        <v>323002</v>
      </c>
      <c r="B129" s="32" t="s">
        <v>134</v>
      </c>
      <c r="C129" s="124">
        <v>705491772.59000015</v>
      </c>
      <c r="D129" s="127">
        <v>0</v>
      </c>
      <c r="E129" s="127">
        <v>0</v>
      </c>
      <c r="F129" s="124">
        <v>0</v>
      </c>
      <c r="G129" s="124">
        <v>0</v>
      </c>
      <c r="H129" s="124">
        <v>0</v>
      </c>
      <c r="I129" s="124">
        <v>0</v>
      </c>
      <c r="J129" s="124">
        <v>0</v>
      </c>
      <c r="K129" s="124">
        <v>0</v>
      </c>
      <c r="L129" s="127">
        <v>0</v>
      </c>
      <c r="M129" s="252">
        <f>+C129-D129+E129-F129+G129-H129+I129-J129+K129</f>
        <v>705491772.59000015</v>
      </c>
      <c r="N129" s="264">
        <f>+M129-706133395</f>
        <v>-641622.40999984741</v>
      </c>
      <c r="O129" s="264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</row>
    <row r="130" spans="1:61" s="49" customFormat="1" ht="14.25" customHeight="1">
      <c r="A130" s="29">
        <v>3255</v>
      </c>
      <c r="B130" s="30" t="s">
        <v>56</v>
      </c>
      <c r="C130" s="130">
        <f>+C131</f>
        <v>79860476</v>
      </c>
      <c r="D130" s="131">
        <f>+D131</f>
        <v>0</v>
      </c>
      <c r="E130" s="131">
        <f t="shared" ref="E130:M130" si="56">+E131</f>
        <v>0</v>
      </c>
      <c r="F130" s="131">
        <f t="shared" si="56"/>
        <v>0</v>
      </c>
      <c r="G130" s="131">
        <f t="shared" si="56"/>
        <v>0</v>
      </c>
      <c r="H130" s="131">
        <f t="shared" si="56"/>
        <v>0</v>
      </c>
      <c r="I130" s="131">
        <f t="shared" si="56"/>
        <v>0</v>
      </c>
      <c r="J130" s="131">
        <f t="shared" si="56"/>
        <v>0</v>
      </c>
      <c r="K130" s="131">
        <f t="shared" si="56"/>
        <v>0</v>
      </c>
      <c r="L130" s="131">
        <f t="shared" si="56"/>
        <v>0</v>
      </c>
      <c r="M130" s="253">
        <f t="shared" si="56"/>
        <v>79860476</v>
      </c>
    </row>
    <row r="131" spans="1:61" ht="14.25" customHeight="1">
      <c r="A131" s="31">
        <v>325525</v>
      </c>
      <c r="B131" s="32" t="s">
        <v>57</v>
      </c>
      <c r="C131" s="124">
        <v>79860476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v>0</v>
      </c>
      <c r="J131" s="127">
        <v>0</v>
      </c>
      <c r="K131" s="128">
        <v>0</v>
      </c>
      <c r="L131" s="127">
        <v>0</v>
      </c>
      <c r="M131" s="252">
        <f>+C131-D131+E131-F131+G131-H131+I131-J131+K131</f>
        <v>79860476</v>
      </c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</row>
    <row r="132" spans="1:61" s="66" customFormat="1" ht="14.25" customHeight="1">
      <c r="A132" s="75">
        <v>4</v>
      </c>
      <c r="B132" s="76" t="s">
        <v>62</v>
      </c>
      <c r="C132" s="133">
        <f>C133+C136+C140</f>
        <v>0</v>
      </c>
      <c r="D132" s="133">
        <f t="shared" ref="D132:M132" si="57">D133+D136+D140</f>
        <v>0</v>
      </c>
      <c r="E132" s="133">
        <f t="shared" si="57"/>
        <v>40090460</v>
      </c>
      <c r="F132" s="133">
        <f t="shared" si="57"/>
        <v>0</v>
      </c>
      <c r="G132" s="133">
        <f t="shared" si="57"/>
        <v>95</v>
      </c>
      <c r="H132" s="133">
        <f t="shared" si="57"/>
        <v>0</v>
      </c>
      <c r="I132" s="133">
        <f t="shared" si="57"/>
        <v>0</v>
      </c>
      <c r="J132" s="266">
        <f t="shared" si="57"/>
        <v>0</v>
      </c>
      <c r="K132" s="266">
        <f t="shared" si="57"/>
        <v>0</v>
      </c>
      <c r="L132" s="133">
        <f t="shared" si="57"/>
        <v>0</v>
      </c>
      <c r="M132" s="133">
        <f t="shared" si="57"/>
        <v>40090555</v>
      </c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</row>
    <row r="133" spans="1:61" ht="14.25" customHeight="1">
      <c r="A133" s="27">
        <v>41</v>
      </c>
      <c r="B133" s="28" t="s">
        <v>317</v>
      </c>
      <c r="C133" s="130">
        <f>+C134</f>
        <v>0</v>
      </c>
      <c r="D133" s="130">
        <f t="shared" ref="D133:M134" si="58">+D134</f>
        <v>0</v>
      </c>
      <c r="E133" s="130">
        <f t="shared" si="58"/>
        <v>0</v>
      </c>
      <c r="F133" s="130">
        <f t="shared" si="58"/>
        <v>0</v>
      </c>
      <c r="G133" s="130">
        <f t="shared" si="58"/>
        <v>0</v>
      </c>
      <c r="H133" s="130">
        <f t="shared" si="58"/>
        <v>0</v>
      </c>
      <c r="I133" s="130">
        <f t="shared" si="58"/>
        <v>0</v>
      </c>
      <c r="J133" s="130">
        <f t="shared" si="58"/>
        <v>0</v>
      </c>
      <c r="K133" s="130">
        <f t="shared" si="58"/>
        <v>0</v>
      </c>
      <c r="L133" s="130">
        <f t="shared" si="58"/>
        <v>0</v>
      </c>
      <c r="M133" s="130">
        <f t="shared" si="58"/>
        <v>0</v>
      </c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</row>
    <row r="134" spans="1:61" ht="14.25" customHeight="1">
      <c r="A134" s="29">
        <v>4195</v>
      </c>
      <c r="B134" s="30" t="s">
        <v>315</v>
      </c>
      <c r="C134" s="130">
        <f>+C135</f>
        <v>0</v>
      </c>
      <c r="D134" s="130">
        <f t="shared" si="58"/>
        <v>0</v>
      </c>
      <c r="E134" s="130">
        <f t="shared" si="58"/>
        <v>0</v>
      </c>
      <c r="F134" s="130">
        <f t="shared" si="58"/>
        <v>0</v>
      </c>
      <c r="G134" s="130">
        <f t="shared" si="58"/>
        <v>0</v>
      </c>
      <c r="H134" s="130">
        <f t="shared" si="58"/>
        <v>0</v>
      </c>
      <c r="I134" s="130">
        <f t="shared" si="58"/>
        <v>0</v>
      </c>
      <c r="J134" s="130">
        <f t="shared" si="58"/>
        <v>0</v>
      </c>
      <c r="K134" s="130">
        <f t="shared" si="58"/>
        <v>0</v>
      </c>
      <c r="L134" s="130">
        <f t="shared" si="58"/>
        <v>0</v>
      </c>
      <c r="M134" s="130">
        <f t="shared" si="58"/>
        <v>0</v>
      </c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</row>
    <row r="135" spans="1:61" ht="14.25" customHeight="1">
      <c r="A135" s="31">
        <v>419502</v>
      </c>
      <c r="B135" s="32" t="s">
        <v>316</v>
      </c>
      <c r="C135" s="124"/>
      <c r="D135" s="124"/>
      <c r="E135" s="124"/>
      <c r="F135" s="124"/>
      <c r="G135" s="124"/>
      <c r="H135" s="124"/>
      <c r="I135" s="124"/>
      <c r="J135" s="124">
        <v>0</v>
      </c>
      <c r="K135" s="124"/>
      <c r="L135" s="124"/>
      <c r="M135" s="252">
        <f>+C135-D135+E135-F135+G135-H135+I135-J135+K135</f>
        <v>0</v>
      </c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</row>
    <row r="136" spans="1:61" s="48" customFormat="1" ht="14.25" customHeight="1">
      <c r="A136" s="27">
        <v>44</v>
      </c>
      <c r="B136" s="28" t="s">
        <v>64</v>
      </c>
      <c r="C136" s="130">
        <f>+C137</f>
        <v>0</v>
      </c>
      <c r="D136" s="131">
        <f>+D137</f>
        <v>0</v>
      </c>
      <c r="E136" s="131">
        <f t="shared" ref="E136:L136" si="59">+E137</f>
        <v>0</v>
      </c>
      <c r="F136" s="131">
        <f t="shared" si="59"/>
        <v>0</v>
      </c>
      <c r="G136" s="131">
        <f t="shared" si="59"/>
        <v>0</v>
      </c>
      <c r="H136" s="131">
        <f t="shared" si="59"/>
        <v>0</v>
      </c>
      <c r="I136" s="131">
        <f t="shared" si="59"/>
        <v>0</v>
      </c>
      <c r="J136" s="131">
        <f t="shared" si="59"/>
        <v>0</v>
      </c>
      <c r="K136" s="131">
        <f>+K137</f>
        <v>0</v>
      </c>
      <c r="L136" s="131">
        <f t="shared" si="59"/>
        <v>0</v>
      </c>
      <c r="M136" s="253">
        <f>+M137</f>
        <v>0</v>
      </c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</row>
    <row r="137" spans="1:61" s="48" customFormat="1" ht="14.25" customHeight="1">
      <c r="A137" s="29">
        <v>4428</v>
      </c>
      <c r="B137" s="30" t="s">
        <v>65</v>
      </c>
      <c r="C137" s="130">
        <f t="shared" ref="C137:L137" si="60">+C138+C139</f>
        <v>0</v>
      </c>
      <c r="D137" s="126">
        <f t="shared" si="60"/>
        <v>0</v>
      </c>
      <c r="E137" s="126">
        <f t="shared" si="60"/>
        <v>0</v>
      </c>
      <c r="F137" s="181">
        <f t="shared" si="60"/>
        <v>0</v>
      </c>
      <c r="G137" s="126">
        <f t="shared" si="60"/>
        <v>0</v>
      </c>
      <c r="H137" s="126">
        <f t="shared" ref="H137:I137" si="61">+H138+H139</f>
        <v>0</v>
      </c>
      <c r="I137" s="126">
        <f t="shared" si="61"/>
        <v>0</v>
      </c>
      <c r="J137" s="126">
        <f t="shared" si="60"/>
        <v>0</v>
      </c>
      <c r="K137" s="126">
        <f t="shared" si="60"/>
        <v>0</v>
      </c>
      <c r="L137" s="126">
        <f t="shared" si="60"/>
        <v>0</v>
      </c>
      <c r="M137" s="253">
        <f>M138+M139</f>
        <v>0</v>
      </c>
    </row>
    <row r="138" spans="1:61" s="49" customFormat="1" ht="14.25" customHeight="1">
      <c r="A138" s="31">
        <v>442802</v>
      </c>
      <c r="B138" s="32" t="s">
        <v>66</v>
      </c>
      <c r="C138" s="124">
        <v>0</v>
      </c>
      <c r="D138" s="127">
        <v>0</v>
      </c>
      <c r="E138" s="127">
        <v>0</v>
      </c>
      <c r="F138" s="131"/>
      <c r="G138" s="127">
        <v>0</v>
      </c>
      <c r="H138" s="128">
        <v>0</v>
      </c>
      <c r="I138" s="128">
        <v>0</v>
      </c>
      <c r="J138" s="128">
        <v>0</v>
      </c>
      <c r="K138" s="128">
        <v>0</v>
      </c>
      <c r="L138" s="128">
        <v>0</v>
      </c>
      <c r="M138" s="252">
        <f>E138+G138+I138-J138+K138-H138-D138</f>
        <v>0</v>
      </c>
    </row>
    <row r="139" spans="1:61" ht="14.25" customHeight="1">
      <c r="A139" s="31">
        <v>442803</v>
      </c>
      <c r="B139" s="32" t="s">
        <v>67</v>
      </c>
      <c r="C139" s="124">
        <v>0</v>
      </c>
      <c r="D139" s="127">
        <v>0</v>
      </c>
      <c r="E139" s="127">
        <v>0</v>
      </c>
      <c r="F139" s="128">
        <v>0</v>
      </c>
      <c r="G139" s="128">
        <v>0</v>
      </c>
      <c r="H139" s="124">
        <v>0</v>
      </c>
      <c r="I139" s="124">
        <v>0</v>
      </c>
      <c r="J139" s="124">
        <v>0</v>
      </c>
      <c r="K139" s="124">
        <v>0</v>
      </c>
      <c r="L139" s="124">
        <v>0</v>
      </c>
      <c r="M139" s="252">
        <f>E139+G139+I139+K139</f>
        <v>0</v>
      </c>
    </row>
    <row r="140" spans="1:61" s="48" customFormat="1" ht="14.25" customHeight="1">
      <c r="A140" s="27">
        <v>48</v>
      </c>
      <c r="B140" s="28" t="s">
        <v>68</v>
      </c>
      <c r="C140" s="130">
        <f t="shared" ref="C140:F140" si="62">+C141+C143</f>
        <v>0</v>
      </c>
      <c r="D140" s="131">
        <f t="shared" si="62"/>
        <v>0</v>
      </c>
      <c r="E140" s="131">
        <f>+E141+E143</f>
        <v>40090460</v>
      </c>
      <c r="F140" s="131">
        <f t="shared" si="62"/>
        <v>0</v>
      </c>
      <c r="G140" s="131">
        <f>+G141+G143</f>
        <v>95</v>
      </c>
      <c r="H140" s="131">
        <f t="shared" ref="H140" si="63">+H141+H143</f>
        <v>0</v>
      </c>
      <c r="I140" s="131">
        <f>+I141+I143</f>
        <v>0</v>
      </c>
      <c r="J140" s="131">
        <f>+J141+J143</f>
        <v>0</v>
      </c>
      <c r="K140" s="131">
        <f>+K141+K143</f>
        <v>0</v>
      </c>
      <c r="L140" s="131">
        <f>+L141+L143</f>
        <v>0</v>
      </c>
      <c r="M140" s="253">
        <f>+M141+M143</f>
        <v>40090555</v>
      </c>
    </row>
    <row r="141" spans="1:61" s="49" customFormat="1" ht="14.25" customHeight="1">
      <c r="A141" s="29">
        <v>4802</v>
      </c>
      <c r="B141" s="30" t="s">
        <v>69</v>
      </c>
      <c r="C141" s="130">
        <f t="shared" ref="C141:L141" si="64">+C142</f>
        <v>0</v>
      </c>
      <c r="D141" s="131">
        <f t="shared" si="64"/>
        <v>0</v>
      </c>
      <c r="E141" s="131">
        <f t="shared" si="64"/>
        <v>100</v>
      </c>
      <c r="F141" s="131">
        <f t="shared" si="64"/>
        <v>0</v>
      </c>
      <c r="G141" s="131">
        <f t="shared" si="64"/>
        <v>95</v>
      </c>
      <c r="H141" s="131">
        <f t="shared" si="64"/>
        <v>0</v>
      </c>
      <c r="I141" s="131">
        <f t="shared" si="64"/>
        <v>0</v>
      </c>
      <c r="J141" s="131">
        <f t="shared" si="64"/>
        <v>0</v>
      </c>
      <c r="K141" s="131">
        <f>+K142</f>
        <v>0</v>
      </c>
      <c r="L141" s="131">
        <f t="shared" si="64"/>
        <v>0</v>
      </c>
      <c r="M141" s="253">
        <f>+M142</f>
        <v>195</v>
      </c>
    </row>
    <row r="142" spans="1:61" s="49" customFormat="1" ht="14.25" customHeight="1">
      <c r="A142" s="31">
        <v>480201</v>
      </c>
      <c r="B142" s="32" t="s">
        <v>70</v>
      </c>
      <c r="C142" s="124">
        <v>0</v>
      </c>
      <c r="D142" s="127">
        <v>0</v>
      </c>
      <c r="E142" s="124">
        <v>100</v>
      </c>
      <c r="F142" s="124">
        <v>0</v>
      </c>
      <c r="G142" s="124">
        <v>95</v>
      </c>
      <c r="H142" s="124">
        <v>0</v>
      </c>
      <c r="I142" s="124">
        <v>0</v>
      </c>
      <c r="J142" s="124">
        <v>0</v>
      </c>
      <c r="K142" s="124">
        <v>0</v>
      </c>
      <c r="L142" s="128">
        <v>0</v>
      </c>
      <c r="M142" s="252">
        <f>E142+G142+I142+K142</f>
        <v>195</v>
      </c>
    </row>
    <row r="143" spans="1:61" s="48" customFormat="1" ht="14.25" customHeight="1">
      <c r="A143" s="29">
        <v>4808</v>
      </c>
      <c r="B143" s="30" t="s">
        <v>71</v>
      </c>
      <c r="C143" s="130">
        <f>SUM(C144:C145)</f>
        <v>0</v>
      </c>
      <c r="D143" s="130">
        <f t="shared" ref="D143:M143" si="65">SUM(D144:D145)</f>
        <v>0</v>
      </c>
      <c r="E143" s="130">
        <f t="shared" si="65"/>
        <v>40090360</v>
      </c>
      <c r="F143" s="130">
        <f t="shared" si="65"/>
        <v>0</v>
      </c>
      <c r="G143" s="130">
        <f t="shared" si="65"/>
        <v>0</v>
      </c>
      <c r="H143" s="130">
        <f t="shared" si="65"/>
        <v>0</v>
      </c>
      <c r="I143" s="130">
        <f t="shared" si="65"/>
        <v>0</v>
      </c>
      <c r="J143" s="130">
        <f t="shared" si="65"/>
        <v>0</v>
      </c>
      <c r="K143" s="130">
        <f t="shared" si="65"/>
        <v>0</v>
      </c>
      <c r="L143" s="130">
        <f t="shared" si="65"/>
        <v>0</v>
      </c>
      <c r="M143" s="255">
        <f t="shared" si="65"/>
        <v>40090360</v>
      </c>
    </row>
    <row r="144" spans="1:61" s="49" customFormat="1" ht="14.25" customHeight="1">
      <c r="A144" s="31">
        <v>480826</v>
      </c>
      <c r="B144" s="32" t="s">
        <v>148</v>
      </c>
      <c r="C144" s="124">
        <v>0</v>
      </c>
      <c r="D144" s="127">
        <v>0</v>
      </c>
      <c r="E144" s="127">
        <v>0</v>
      </c>
      <c r="F144" s="128">
        <v>0</v>
      </c>
      <c r="G144" s="124">
        <v>0</v>
      </c>
      <c r="H144" s="128">
        <v>0</v>
      </c>
      <c r="I144" s="128">
        <v>0</v>
      </c>
      <c r="J144" s="128">
        <v>0</v>
      </c>
      <c r="K144" s="128">
        <v>0</v>
      </c>
      <c r="L144" s="128">
        <v>0</v>
      </c>
      <c r="M144" s="252">
        <f>E144+G144+I144+K144</f>
        <v>0</v>
      </c>
    </row>
    <row r="145" spans="1:39" s="49" customFormat="1" ht="14.25" customHeight="1">
      <c r="A145" s="31">
        <v>440890</v>
      </c>
      <c r="B145" s="32" t="s">
        <v>281</v>
      </c>
      <c r="C145" s="124"/>
      <c r="D145" s="127"/>
      <c r="E145" s="124">
        <f>35954053+4136307</f>
        <v>40090360</v>
      </c>
      <c r="F145" s="124">
        <v>0</v>
      </c>
      <c r="G145" s="124">
        <v>0</v>
      </c>
      <c r="H145" s="124">
        <v>0</v>
      </c>
      <c r="I145" s="124">
        <v>0</v>
      </c>
      <c r="J145" s="124">
        <v>0</v>
      </c>
      <c r="K145" s="124">
        <v>0</v>
      </c>
      <c r="L145" s="128"/>
      <c r="M145" s="252">
        <f>E145+G145+I145+K145</f>
        <v>40090360</v>
      </c>
    </row>
    <row r="146" spans="1:39" s="66" customFormat="1" ht="14.25" customHeight="1">
      <c r="A146" s="75">
        <v>5</v>
      </c>
      <c r="B146" s="76" t="s">
        <v>72</v>
      </c>
      <c r="C146" s="133">
        <f t="shared" ref="C146:L146" si="66">+C147+C204+C213+C217+C223+C229</f>
        <v>0</v>
      </c>
      <c r="D146" s="133">
        <f t="shared" si="66"/>
        <v>492395271</v>
      </c>
      <c r="E146" s="133">
        <f t="shared" si="66"/>
        <v>0</v>
      </c>
      <c r="F146" s="133">
        <f t="shared" si="66"/>
        <v>608537779</v>
      </c>
      <c r="G146" s="133">
        <f t="shared" si="66"/>
        <v>0</v>
      </c>
      <c r="H146" s="266">
        <f t="shared" si="66"/>
        <v>0</v>
      </c>
      <c r="I146" s="266">
        <f t="shared" si="66"/>
        <v>0</v>
      </c>
      <c r="J146" s="266">
        <f t="shared" si="66"/>
        <v>0</v>
      </c>
      <c r="K146" s="266">
        <f t="shared" si="66"/>
        <v>0</v>
      </c>
      <c r="L146" s="133">
        <f t="shared" si="66"/>
        <v>1100933050</v>
      </c>
      <c r="M146" s="256">
        <f>+M147+M204+M217+M229+M213</f>
        <v>0</v>
      </c>
      <c r="N146" s="49">
        <v>2233178504.4099998</v>
      </c>
      <c r="O146" s="264">
        <f>+L146-N146</f>
        <v>-1132245454.4099998</v>
      </c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 spans="1:39" s="48" customFormat="1" ht="14.25" customHeight="1">
      <c r="A147" s="27">
        <v>51</v>
      </c>
      <c r="B147" s="28" t="s">
        <v>73</v>
      </c>
      <c r="C147" s="130">
        <f>+C148+C157+C160+C164+C178+C198</f>
        <v>0</v>
      </c>
      <c r="D147" s="131">
        <f t="shared" ref="D147:L147" si="67">+D148+D157+D160+D164+D167+D175+D178+D198</f>
        <v>492395271</v>
      </c>
      <c r="E147" s="131">
        <f t="shared" si="67"/>
        <v>0</v>
      </c>
      <c r="F147" s="131">
        <f t="shared" si="67"/>
        <v>592567788</v>
      </c>
      <c r="G147" s="131">
        <f t="shared" si="67"/>
        <v>0</v>
      </c>
      <c r="H147" s="131">
        <f t="shared" si="67"/>
        <v>0</v>
      </c>
      <c r="I147" s="131">
        <f t="shared" si="67"/>
        <v>0</v>
      </c>
      <c r="J147" s="131">
        <f t="shared" si="67"/>
        <v>0</v>
      </c>
      <c r="K147" s="131">
        <f t="shared" si="67"/>
        <v>0</v>
      </c>
      <c r="L147" s="131">
        <f t="shared" si="67"/>
        <v>1084963059</v>
      </c>
      <c r="M147" s="253">
        <f>+M148+M157+M160+M164+M178+M198</f>
        <v>0</v>
      </c>
    </row>
    <row r="148" spans="1:39" s="49" customFormat="1" ht="14.25" customHeight="1">
      <c r="A148" s="29">
        <v>5101</v>
      </c>
      <c r="B148" s="30" t="s">
        <v>74</v>
      </c>
      <c r="C148" s="130">
        <f t="shared" ref="C148:M148" si="68">+SUM(C149:C156)</f>
        <v>0</v>
      </c>
      <c r="D148" s="131">
        <f t="shared" si="68"/>
        <v>148419281</v>
      </c>
      <c r="E148" s="131">
        <f t="shared" si="68"/>
        <v>0</v>
      </c>
      <c r="F148" s="131">
        <f t="shared" si="68"/>
        <v>185057288</v>
      </c>
      <c r="G148" s="131">
        <f t="shared" si="68"/>
        <v>0</v>
      </c>
      <c r="H148" s="131">
        <f t="shared" si="68"/>
        <v>0</v>
      </c>
      <c r="I148" s="131">
        <f t="shared" si="68"/>
        <v>0</v>
      </c>
      <c r="J148" s="131">
        <f t="shared" si="68"/>
        <v>0</v>
      </c>
      <c r="K148" s="131">
        <f t="shared" si="68"/>
        <v>0</v>
      </c>
      <c r="L148" s="131">
        <f t="shared" si="68"/>
        <v>333476569</v>
      </c>
      <c r="M148" s="253">
        <f t="shared" si="68"/>
        <v>0</v>
      </c>
    </row>
    <row r="149" spans="1:39" ht="14.25" customHeight="1">
      <c r="A149" s="31">
        <v>510101</v>
      </c>
      <c r="B149" s="32" t="s">
        <v>75</v>
      </c>
      <c r="C149" s="129">
        <v>0</v>
      </c>
      <c r="D149" s="124">
        <v>138552467</v>
      </c>
      <c r="E149" s="124">
        <v>0</v>
      </c>
      <c r="F149" s="124">
        <v>171840630</v>
      </c>
      <c r="G149" s="124">
        <v>0</v>
      </c>
      <c r="H149" s="124">
        <v>0</v>
      </c>
      <c r="I149" s="124">
        <v>0</v>
      </c>
      <c r="J149" s="124">
        <v>0</v>
      </c>
      <c r="K149" s="124">
        <v>0</v>
      </c>
      <c r="L149" s="127">
        <f>D149+F149+H149+J149-G149</f>
        <v>310393097</v>
      </c>
      <c r="M149" s="251">
        <v>0</v>
      </c>
    </row>
    <row r="150" spans="1:39" ht="14.25" customHeight="1">
      <c r="A150" s="31">
        <v>510105</v>
      </c>
      <c r="B150" s="32" t="s">
        <v>76</v>
      </c>
      <c r="C150" s="129">
        <v>0</v>
      </c>
      <c r="D150" s="124">
        <v>5771326</v>
      </c>
      <c r="E150" s="124">
        <v>0</v>
      </c>
      <c r="F150" s="124">
        <v>5902494</v>
      </c>
      <c r="G150" s="124">
        <v>0</v>
      </c>
      <c r="H150" s="124">
        <v>0</v>
      </c>
      <c r="I150" s="124">
        <v>0</v>
      </c>
      <c r="J150" s="124">
        <v>0</v>
      </c>
      <c r="K150" s="124">
        <v>0</v>
      </c>
      <c r="L150" s="127">
        <f t="shared" ref="L150:L156" si="69">D150+F150+H150+J150</f>
        <v>11673820</v>
      </c>
      <c r="M150" s="251">
        <v>0</v>
      </c>
    </row>
    <row r="151" spans="1:39" ht="14.25" customHeight="1">
      <c r="A151" s="31">
        <v>510119</v>
      </c>
      <c r="B151" s="32" t="s">
        <v>214</v>
      </c>
      <c r="C151" s="129"/>
      <c r="D151" s="124">
        <v>4095488</v>
      </c>
      <c r="E151" s="124">
        <v>0</v>
      </c>
      <c r="F151" s="124">
        <v>7314164</v>
      </c>
      <c r="G151" s="124">
        <v>0</v>
      </c>
      <c r="H151" s="124">
        <v>0</v>
      </c>
      <c r="I151" s="124">
        <v>0</v>
      </c>
      <c r="J151" s="124">
        <v>0</v>
      </c>
      <c r="K151" s="124">
        <v>0</v>
      </c>
      <c r="L151" s="127">
        <f t="shared" si="69"/>
        <v>11409652</v>
      </c>
      <c r="M151" s="251"/>
    </row>
    <row r="152" spans="1:39" ht="14.25" customHeight="1">
      <c r="A152" s="31">
        <v>510123</v>
      </c>
      <c r="B152" s="32" t="s">
        <v>80</v>
      </c>
      <c r="C152" s="129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  <c r="I152" s="124">
        <v>0</v>
      </c>
      <c r="J152" s="124">
        <v>0</v>
      </c>
      <c r="K152" s="124">
        <v>0</v>
      </c>
      <c r="L152" s="127">
        <f t="shared" si="69"/>
        <v>0</v>
      </c>
      <c r="M152" s="251">
        <v>0</v>
      </c>
    </row>
    <row r="153" spans="1:39" ht="14.25" customHeight="1">
      <c r="A153" s="31">
        <v>510702</v>
      </c>
      <c r="B153" s="32" t="s">
        <v>81</v>
      </c>
      <c r="C153" s="129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  <c r="I153" s="124">
        <v>0</v>
      </c>
      <c r="J153" s="124">
        <v>0</v>
      </c>
      <c r="K153" s="124">
        <v>0</v>
      </c>
      <c r="L153" s="127">
        <f t="shared" si="69"/>
        <v>0</v>
      </c>
      <c r="M153" s="251">
        <v>0</v>
      </c>
    </row>
    <row r="154" spans="1:39" ht="14.25" customHeight="1">
      <c r="A154" s="31">
        <v>510703</v>
      </c>
      <c r="B154" s="32" t="s">
        <v>233</v>
      </c>
      <c r="C154" s="129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  <c r="I154" s="124">
        <v>0</v>
      </c>
      <c r="J154" s="124">
        <v>0</v>
      </c>
      <c r="K154" s="124">
        <v>0</v>
      </c>
      <c r="L154" s="127">
        <f t="shared" si="69"/>
        <v>0</v>
      </c>
      <c r="M154" s="251"/>
    </row>
    <row r="155" spans="1:39" ht="14.25" customHeight="1">
      <c r="A155" s="31">
        <v>510130</v>
      </c>
      <c r="B155" s="32" t="s">
        <v>83</v>
      </c>
      <c r="C155" s="129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  <c r="I155" s="124">
        <v>0</v>
      </c>
      <c r="J155" s="124">
        <v>0</v>
      </c>
      <c r="K155" s="124">
        <v>0</v>
      </c>
      <c r="L155" s="127">
        <f>D155+F155+H155+J155</f>
        <v>0</v>
      </c>
      <c r="M155" s="251">
        <v>0</v>
      </c>
    </row>
    <row r="156" spans="1:39" s="49" customFormat="1" ht="14.25" customHeight="1">
      <c r="A156" s="31">
        <v>510706</v>
      </c>
      <c r="B156" s="32" t="s">
        <v>84</v>
      </c>
      <c r="C156" s="129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  <c r="I156" s="124">
        <v>0</v>
      </c>
      <c r="J156" s="124">
        <v>0</v>
      </c>
      <c r="K156" s="124">
        <v>0</v>
      </c>
      <c r="L156" s="127">
        <f t="shared" si="69"/>
        <v>0</v>
      </c>
      <c r="M156" s="251">
        <v>0</v>
      </c>
    </row>
    <row r="157" spans="1:39" s="49" customFormat="1" ht="14.25" customHeight="1">
      <c r="A157" s="29">
        <v>5102</v>
      </c>
      <c r="B157" s="30" t="s">
        <v>85</v>
      </c>
      <c r="C157" s="125">
        <f>SUM(C158:C159)</f>
        <v>0</v>
      </c>
      <c r="D157" s="125">
        <f t="shared" ref="D157:M157" si="70">SUM(D158:D159)</f>
        <v>57222461</v>
      </c>
      <c r="E157" s="125">
        <f t="shared" si="70"/>
        <v>0</v>
      </c>
      <c r="F157" s="125">
        <f t="shared" si="70"/>
        <v>24260977</v>
      </c>
      <c r="G157" s="125">
        <f t="shared" si="70"/>
        <v>0</v>
      </c>
      <c r="H157" s="125">
        <f t="shared" si="70"/>
        <v>0</v>
      </c>
      <c r="I157" s="125">
        <f t="shared" si="70"/>
        <v>0</v>
      </c>
      <c r="J157" s="125">
        <f t="shared" si="70"/>
        <v>0</v>
      </c>
      <c r="K157" s="125">
        <f t="shared" si="70"/>
        <v>0</v>
      </c>
      <c r="L157" s="125">
        <f t="shared" si="70"/>
        <v>81483438</v>
      </c>
      <c r="M157" s="125">
        <f t="shared" si="70"/>
        <v>0</v>
      </c>
    </row>
    <row r="158" spans="1:39" s="49" customFormat="1" ht="14.25" customHeight="1">
      <c r="A158" s="31">
        <v>510216</v>
      </c>
      <c r="B158" s="32" t="s">
        <v>52</v>
      </c>
      <c r="C158" s="129">
        <v>0</v>
      </c>
      <c r="D158" s="124">
        <v>35954053</v>
      </c>
      <c r="E158" s="124">
        <v>0</v>
      </c>
      <c r="F158" s="124">
        <v>4136307</v>
      </c>
      <c r="G158" s="124">
        <v>0</v>
      </c>
      <c r="H158" s="124">
        <v>0</v>
      </c>
      <c r="I158" s="124">
        <v>0</v>
      </c>
      <c r="J158" s="124">
        <v>0</v>
      </c>
      <c r="K158" s="124">
        <v>0</v>
      </c>
      <c r="L158" s="127">
        <f>D158+F158+H158+J158</f>
        <v>40090360</v>
      </c>
      <c r="M158" s="251">
        <v>0</v>
      </c>
    </row>
    <row r="159" spans="1:39" ht="14.25" customHeight="1">
      <c r="A159" s="31">
        <v>510290</v>
      </c>
      <c r="B159" s="32" t="s">
        <v>86</v>
      </c>
      <c r="C159" s="129">
        <v>0</v>
      </c>
      <c r="D159" s="124">
        <v>21268408</v>
      </c>
      <c r="E159" s="124">
        <v>0</v>
      </c>
      <c r="F159" s="124">
        <v>20124670</v>
      </c>
      <c r="G159" s="124">
        <v>0</v>
      </c>
      <c r="H159" s="124">
        <v>0</v>
      </c>
      <c r="I159" s="124">
        <v>0</v>
      </c>
      <c r="J159" s="124">
        <v>0</v>
      </c>
      <c r="K159" s="124">
        <v>0</v>
      </c>
      <c r="L159" s="127">
        <f>D159+F159+H159+J159</f>
        <v>41393078</v>
      </c>
      <c r="M159" s="251">
        <v>0</v>
      </c>
    </row>
    <row r="160" spans="1:39" s="49" customFormat="1" ht="14.25" customHeight="1">
      <c r="A160" s="29">
        <v>5103</v>
      </c>
      <c r="B160" s="30" t="s">
        <v>87</v>
      </c>
      <c r="C160" s="125">
        <v>0</v>
      </c>
      <c r="D160" s="131">
        <f t="shared" ref="D160:K160" si="71">+SUM(D161:D163)</f>
        <v>25348248</v>
      </c>
      <c r="E160" s="131">
        <f t="shared" si="71"/>
        <v>0</v>
      </c>
      <c r="F160" s="131">
        <f t="shared" si="71"/>
        <v>25050631</v>
      </c>
      <c r="G160" s="131">
        <f t="shared" si="71"/>
        <v>0</v>
      </c>
      <c r="H160" s="131">
        <f t="shared" si="71"/>
        <v>0</v>
      </c>
      <c r="I160" s="131">
        <f t="shared" si="71"/>
        <v>0</v>
      </c>
      <c r="J160" s="131">
        <f t="shared" si="71"/>
        <v>0</v>
      </c>
      <c r="K160" s="131">
        <f t="shared" si="71"/>
        <v>0</v>
      </c>
      <c r="L160" s="131">
        <f>L161+L162+L163</f>
        <v>50398879</v>
      </c>
      <c r="M160" s="253">
        <f>+SUM(M161:M163)</f>
        <v>0</v>
      </c>
    </row>
    <row r="161" spans="1:13" s="49" customFormat="1" ht="14.25" customHeight="1">
      <c r="A161" s="31">
        <v>510302</v>
      </c>
      <c r="B161" s="32" t="s">
        <v>88</v>
      </c>
      <c r="C161" s="129">
        <v>0</v>
      </c>
      <c r="D161" s="124">
        <v>6563700</v>
      </c>
      <c r="E161" s="124">
        <v>0</v>
      </c>
      <c r="F161" s="124">
        <v>6709200</v>
      </c>
      <c r="G161" s="124">
        <v>0</v>
      </c>
      <c r="H161" s="124">
        <v>0</v>
      </c>
      <c r="I161" s="124">
        <v>0</v>
      </c>
      <c r="J161" s="124">
        <v>0</v>
      </c>
      <c r="K161" s="124">
        <v>0</v>
      </c>
      <c r="L161" s="127">
        <f>D161+F161+H161+J161</f>
        <v>13272900</v>
      </c>
      <c r="M161" s="251">
        <v>0</v>
      </c>
    </row>
    <row r="162" spans="1:13" ht="14.25" customHeight="1">
      <c r="A162" s="31">
        <v>510303</v>
      </c>
      <c r="B162" s="32" t="s">
        <v>135</v>
      </c>
      <c r="C162" s="129">
        <v>0</v>
      </c>
      <c r="D162" s="124">
        <v>15251948</v>
      </c>
      <c r="E162" s="124">
        <v>0</v>
      </c>
      <c r="F162" s="124">
        <v>14254831</v>
      </c>
      <c r="G162" s="124">
        <v>0</v>
      </c>
      <c r="H162" s="124">
        <v>0</v>
      </c>
      <c r="I162" s="124">
        <v>0</v>
      </c>
      <c r="J162" s="124">
        <v>0</v>
      </c>
      <c r="K162" s="124">
        <v>0</v>
      </c>
      <c r="L162" s="127">
        <f>D162+F162+H162+J162</f>
        <v>29506779</v>
      </c>
      <c r="M162" s="251">
        <v>0</v>
      </c>
    </row>
    <row r="163" spans="1:13" ht="14.25" customHeight="1">
      <c r="A163" s="31">
        <v>510305</v>
      </c>
      <c r="B163" s="32" t="s">
        <v>89</v>
      </c>
      <c r="C163" s="129">
        <v>0</v>
      </c>
      <c r="D163" s="124">
        <v>3532600</v>
      </c>
      <c r="E163" s="124">
        <v>0</v>
      </c>
      <c r="F163" s="124">
        <v>4086600</v>
      </c>
      <c r="G163" s="124">
        <v>0</v>
      </c>
      <c r="H163" s="124">
        <v>0</v>
      </c>
      <c r="I163" s="124">
        <v>0</v>
      </c>
      <c r="J163" s="124">
        <v>0</v>
      </c>
      <c r="K163" s="124">
        <v>0</v>
      </c>
      <c r="L163" s="127">
        <f>D163+F163+H163+J163</f>
        <v>7619200</v>
      </c>
      <c r="M163" s="251">
        <v>0</v>
      </c>
    </row>
    <row r="164" spans="1:13" s="49" customFormat="1" ht="14.25" customHeight="1">
      <c r="A164" s="29">
        <v>5104</v>
      </c>
      <c r="B164" s="30" t="s">
        <v>136</v>
      </c>
      <c r="C164" s="125">
        <v>0</v>
      </c>
      <c r="D164" s="131">
        <f t="shared" ref="D164:K164" si="72">+SUM(D165:D166)</f>
        <v>8070300</v>
      </c>
      <c r="E164" s="131">
        <f t="shared" si="72"/>
        <v>0</v>
      </c>
      <c r="F164" s="131">
        <f t="shared" si="72"/>
        <v>8387100</v>
      </c>
      <c r="G164" s="131">
        <f t="shared" si="72"/>
        <v>0</v>
      </c>
      <c r="H164" s="131">
        <f t="shared" si="72"/>
        <v>0</v>
      </c>
      <c r="I164" s="131">
        <f t="shared" si="72"/>
        <v>0</v>
      </c>
      <c r="J164" s="131">
        <f t="shared" si="72"/>
        <v>0</v>
      </c>
      <c r="K164" s="131">
        <f t="shared" si="72"/>
        <v>0</v>
      </c>
      <c r="L164" s="131">
        <f>L165+L166</f>
        <v>16457400</v>
      </c>
      <c r="M164" s="253">
        <f>+SUM(M165:M166)</f>
        <v>0</v>
      </c>
    </row>
    <row r="165" spans="1:13" ht="14.25" customHeight="1">
      <c r="A165" s="31">
        <v>510401</v>
      </c>
      <c r="B165" s="32" t="s">
        <v>137</v>
      </c>
      <c r="C165" s="129">
        <v>0</v>
      </c>
      <c r="D165" s="124">
        <v>4923300</v>
      </c>
      <c r="E165" s="124">
        <v>0</v>
      </c>
      <c r="F165" s="124">
        <v>5031900</v>
      </c>
      <c r="G165" s="124">
        <v>0</v>
      </c>
      <c r="H165" s="124">
        <v>0</v>
      </c>
      <c r="I165" s="124">
        <v>0</v>
      </c>
      <c r="J165" s="124">
        <v>0</v>
      </c>
      <c r="K165" s="124">
        <v>0</v>
      </c>
      <c r="L165" s="127">
        <f>D165+F165+H165+J165</f>
        <v>9955200</v>
      </c>
      <c r="M165" s="251">
        <v>0</v>
      </c>
    </row>
    <row r="166" spans="1:13" ht="14.25" customHeight="1">
      <c r="A166" s="31">
        <v>510402</v>
      </c>
      <c r="B166" s="32" t="s">
        <v>138</v>
      </c>
      <c r="C166" s="129">
        <v>0</v>
      </c>
      <c r="D166" s="124">
        <v>3147000</v>
      </c>
      <c r="E166" s="124">
        <v>0</v>
      </c>
      <c r="F166" s="124">
        <v>3355200</v>
      </c>
      <c r="G166" s="124">
        <v>0</v>
      </c>
      <c r="H166" s="124">
        <v>0</v>
      </c>
      <c r="I166" s="124">
        <v>0</v>
      </c>
      <c r="J166" s="124">
        <v>0</v>
      </c>
      <c r="K166" s="124">
        <v>0</v>
      </c>
      <c r="L166" s="127">
        <f t="shared" ref="L166:L172" si="73">D166+F166+H166+J166</f>
        <v>6502200</v>
      </c>
      <c r="M166" s="251">
        <v>0</v>
      </c>
    </row>
    <row r="167" spans="1:13" s="49" customFormat="1" ht="14.25" customHeight="1">
      <c r="A167" s="29">
        <v>5107</v>
      </c>
      <c r="B167" s="30" t="s">
        <v>215</v>
      </c>
      <c r="C167" s="125">
        <f>SUM(C168:C174)</f>
        <v>0</v>
      </c>
      <c r="D167" s="125">
        <f t="shared" ref="D167:M167" si="74">SUM(D168:D174)</f>
        <v>14202267</v>
      </c>
      <c r="E167" s="125">
        <f t="shared" si="74"/>
        <v>0</v>
      </c>
      <c r="F167" s="125">
        <f t="shared" si="74"/>
        <v>54334368</v>
      </c>
      <c r="G167" s="125">
        <f t="shared" si="74"/>
        <v>0</v>
      </c>
      <c r="H167" s="125">
        <f t="shared" si="74"/>
        <v>0</v>
      </c>
      <c r="I167" s="125">
        <f t="shared" si="74"/>
        <v>0</v>
      </c>
      <c r="J167" s="125">
        <f t="shared" si="74"/>
        <v>0</v>
      </c>
      <c r="K167" s="125">
        <f t="shared" si="74"/>
        <v>0</v>
      </c>
      <c r="L167" s="125">
        <f t="shared" si="74"/>
        <v>68536635</v>
      </c>
      <c r="M167" s="125">
        <f t="shared" si="74"/>
        <v>0</v>
      </c>
    </row>
    <row r="168" spans="1:13" s="49" customFormat="1" ht="14.25" customHeight="1">
      <c r="A168" s="31">
        <v>510701</v>
      </c>
      <c r="B168" s="32" t="s">
        <v>79</v>
      </c>
      <c r="C168" s="129"/>
      <c r="D168" s="124">
        <v>8976234</v>
      </c>
      <c r="E168" s="124">
        <v>0</v>
      </c>
      <c r="F168" s="124">
        <v>15024848</v>
      </c>
      <c r="G168" s="124">
        <v>0</v>
      </c>
      <c r="H168" s="124">
        <v>0</v>
      </c>
      <c r="I168" s="124">
        <v>0</v>
      </c>
      <c r="J168" s="124">
        <v>0</v>
      </c>
      <c r="K168" s="127"/>
      <c r="L168" s="127">
        <f t="shared" si="73"/>
        <v>24001082</v>
      </c>
      <c r="M168" s="251">
        <v>0</v>
      </c>
    </row>
    <row r="169" spans="1:13" s="49" customFormat="1" ht="14.25" customHeight="1">
      <c r="A169" s="31">
        <v>510702</v>
      </c>
      <c r="B169" s="32" t="s">
        <v>150</v>
      </c>
      <c r="C169" s="129"/>
      <c r="D169" s="124">
        <v>0</v>
      </c>
      <c r="E169" s="124">
        <v>0</v>
      </c>
      <c r="F169" s="124">
        <v>0</v>
      </c>
      <c r="G169" s="124">
        <v>0</v>
      </c>
      <c r="H169" s="124">
        <v>0</v>
      </c>
      <c r="I169" s="124">
        <v>0</v>
      </c>
      <c r="J169" s="124">
        <v>0</v>
      </c>
      <c r="K169" s="127"/>
      <c r="L169" s="127">
        <f t="shared" si="73"/>
        <v>0</v>
      </c>
      <c r="M169" s="251">
        <v>0</v>
      </c>
    </row>
    <row r="170" spans="1:13" s="49" customFormat="1" ht="14.25" customHeight="1">
      <c r="A170" s="31">
        <v>510703</v>
      </c>
      <c r="B170" s="32" t="s">
        <v>82</v>
      </c>
      <c r="C170" s="129">
        <v>0</v>
      </c>
      <c r="D170" s="124">
        <v>0</v>
      </c>
      <c r="E170" s="124">
        <v>0</v>
      </c>
      <c r="F170" s="124">
        <v>0</v>
      </c>
      <c r="G170" s="124">
        <v>0</v>
      </c>
      <c r="H170" s="124">
        <v>0</v>
      </c>
      <c r="I170" s="124">
        <v>0</v>
      </c>
      <c r="J170" s="124">
        <v>0</v>
      </c>
      <c r="K170" s="127">
        <v>0</v>
      </c>
      <c r="L170" s="127">
        <f t="shared" si="73"/>
        <v>0</v>
      </c>
      <c r="M170" s="251">
        <v>0</v>
      </c>
    </row>
    <row r="171" spans="1:13" s="49" customFormat="1" ht="14.25" customHeight="1">
      <c r="A171" s="31">
        <v>510704</v>
      </c>
      <c r="B171" s="32" t="s">
        <v>282</v>
      </c>
      <c r="C171" s="129"/>
      <c r="D171" s="124">
        <v>5226033</v>
      </c>
      <c r="E171" s="124">
        <v>0</v>
      </c>
      <c r="F171" s="124">
        <v>10134016</v>
      </c>
      <c r="G171" s="124">
        <v>0</v>
      </c>
      <c r="H171" s="124">
        <v>0</v>
      </c>
      <c r="I171" s="124">
        <v>0</v>
      </c>
      <c r="J171" s="124">
        <v>0</v>
      </c>
      <c r="K171" s="127"/>
      <c r="L171" s="127">
        <f t="shared" si="73"/>
        <v>15360049</v>
      </c>
      <c r="M171" s="251">
        <v>0</v>
      </c>
    </row>
    <row r="172" spans="1:13" s="49" customFormat="1" ht="14.25" customHeight="1">
      <c r="A172" s="31">
        <v>510705</v>
      </c>
      <c r="B172" s="32" t="s">
        <v>78</v>
      </c>
      <c r="C172" s="129">
        <v>0</v>
      </c>
      <c r="D172" s="124">
        <v>0</v>
      </c>
      <c r="E172" s="124">
        <v>0</v>
      </c>
      <c r="F172" s="124">
        <v>0</v>
      </c>
      <c r="G172" s="124">
        <v>0</v>
      </c>
      <c r="H172" s="124">
        <v>0</v>
      </c>
      <c r="I172" s="124">
        <v>0</v>
      </c>
      <c r="J172" s="124">
        <v>0</v>
      </c>
      <c r="K172" s="127">
        <v>0</v>
      </c>
      <c r="L172" s="127">
        <f t="shared" si="73"/>
        <v>0</v>
      </c>
      <c r="M172" s="251">
        <v>0</v>
      </c>
    </row>
    <row r="173" spans="1:13" s="49" customFormat="1" ht="14.25" customHeight="1">
      <c r="A173" s="31">
        <v>510706</v>
      </c>
      <c r="B173" s="32" t="s">
        <v>84</v>
      </c>
      <c r="C173" s="129">
        <v>0</v>
      </c>
      <c r="D173" s="124">
        <v>0</v>
      </c>
      <c r="E173" s="124">
        <v>0</v>
      </c>
      <c r="F173" s="124">
        <v>29175504</v>
      </c>
      <c r="G173" s="124">
        <v>0</v>
      </c>
      <c r="H173" s="124">
        <v>0</v>
      </c>
      <c r="I173" s="124">
        <v>0</v>
      </c>
      <c r="J173" s="124">
        <v>0</v>
      </c>
      <c r="K173" s="127">
        <v>0</v>
      </c>
      <c r="L173" s="127">
        <f t="shared" ref="L173:L174" si="75">D173+F173+H173+J173</f>
        <v>29175504</v>
      </c>
      <c r="M173" s="251">
        <v>0</v>
      </c>
    </row>
    <row r="174" spans="1:13" s="49" customFormat="1" ht="14.25" customHeight="1">
      <c r="A174" s="31">
        <v>510707</v>
      </c>
      <c r="B174" s="32" t="s">
        <v>297</v>
      </c>
      <c r="C174" s="129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7">
        <v>0</v>
      </c>
      <c r="J174" s="127">
        <v>0</v>
      </c>
      <c r="K174" s="127">
        <v>0</v>
      </c>
      <c r="L174" s="127">
        <f t="shared" si="75"/>
        <v>0</v>
      </c>
      <c r="M174" s="251">
        <v>0</v>
      </c>
    </row>
    <row r="175" spans="1:13" s="49" customFormat="1" ht="14.25" customHeight="1">
      <c r="A175" s="29">
        <v>5108</v>
      </c>
      <c r="B175" s="30" t="s">
        <v>216</v>
      </c>
      <c r="C175" s="125">
        <f>SUM(C176:C177)</f>
        <v>0</v>
      </c>
      <c r="D175" s="125">
        <f t="shared" ref="D175:M175" si="76">SUM(D176:D177)</f>
        <v>160887524</v>
      </c>
      <c r="E175" s="125">
        <f t="shared" si="76"/>
        <v>0</v>
      </c>
      <c r="F175" s="125">
        <f t="shared" si="76"/>
        <v>184141307</v>
      </c>
      <c r="G175" s="125">
        <f t="shared" si="76"/>
        <v>0</v>
      </c>
      <c r="H175" s="125">
        <f t="shared" si="76"/>
        <v>0</v>
      </c>
      <c r="I175" s="125">
        <f t="shared" si="76"/>
        <v>0</v>
      </c>
      <c r="J175" s="125">
        <f t="shared" si="76"/>
        <v>0</v>
      </c>
      <c r="K175" s="125">
        <f t="shared" si="76"/>
        <v>0</v>
      </c>
      <c r="L175" s="125">
        <f t="shared" si="76"/>
        <v>345028831</v>
      </c>
      <c r="M175" s="249">
        <f t="shared" si="76"/>
        <v>0</v>
      </c>
    </row>
    <row r="176" spans="1:13" s="49" customFormat="1" ht="14.25" customHeight="1">
      <c r="A176" s="31">
        <v>510801</v>
      </c>
      <c r="B176" s="32" t="s">
        <v>217</v>
      </c>
      <c r="C176" s="129">
        <v>0</v>
      </c>
      <c r="D176" s="129">
        <v>0</v>
      </c>
      <c r="E176" s="129">
        <v>0</v>
      </c>
      <c r="F176" s="129">
        <v>0</v>
      </c>
      <c r="G176" s="129">
        <v>0</v>
      </c>
      <c r="H176" s="129">
        <v>0</v>
      </c>
      <c r="I176" s="129">
        <v>0</v>
      </c>
      <c r="J176" s="129">
        <v>0</v>
      </c>
      <c r="K176" s="129">
        <v>0</v>
      </c>
      <c r="L176" s="129">
        <v>0</v>
      </c>
      <c r="M176" s="257">
        <v>0</v>
      </c>
    </row>
    <row r="177" spans="1:13" s="49" customFormat="1" ht="14.25" customHeight="1">
      <c r="A177" s="31">
        <v>510802</v>
      </c>
      <c r="B177" s="32" t="s">
        <v>23</v>
      </c>
      <c r="C177" s="129">
        <v>0</v>
      </c>
      <c r="D177" s="129">
        <v>160887524</v>
      </c>
      <c r="E177" s="124">
        <v>0</v>
      </c>
      <c r="F177" s="124">
        <v>184141307</v>
      </c>
      <c r="G177" s="124">
        <v>0</v>
      </c>
      <c r="H177" s="124">
        <v>0</v>
      </c>
      <c r="I177" s="124">
        <v>0</v>
      </c>
      <c r="J177" s="124">
        <v>0</v>
      </c>
      <c r="K177" s="129">
        <v>0</v>
      </c>
      <c r="L177" s="127">
        <f t="shared" ref="L177" si="77">D177+F177+H177+J177</f>
        <v>345028831</v>
      </c>
      <c r="M177" s="257">
        <v>0</v>
      </c>
    </row>
    <row r="178" spans="1:13" s="49" customFormat="1" ht="14.25" customHeight="1">
      <c r="A178" s="29">
        <v>5111</v>
      </c>
      <c r="B178" s="30" t="s">
        <v>90</v>
      </c>
      <c r="C178" s="131">
        <f t="shared" ref="C178:E178" si="78">+SUM(C179+C180+C181+C186+C187+C188+C189+C190+C191+C192+C193+C194+C195+C196+C197)</f>
        <v>0</v>
      </c>
      <c r="D178" s="131">
        <f t="shared" si="78"/>
        <v>77436516</v>
      </c>
      <c r="E178" s="131">
        <f t="shared" si="78"/>
        <v>0</v>
      </c>
      <c r="F178" s="131">
        <f>+SUM(F179+F180+F181+F186+F187+F188+F189+F190+F191+F192+F193+F194+F195+F196+F197)</f>
        <v>111194507</v>
      </c>
      <c r="G178" s="131">
        <f t="shared" ref="G178:M178" si="79">+SUM(G179+G180+G181+G186+G187+G188+G189+G190+G191+G192+G193+G194+G195+G196+G197)</f>
        <v>0</v>
      </c>
      <c r="H178" s="131">
        <f t="shared" si="79"/>
        <v>0</v>
      </c>
      <c r="I178" s="131">
        <f t="shared" si="79"/>
        <v>0</v>
      </c>
      <c r="J178" s="131">
        <f t="shared" si="79"/>
        <v>0</v>
      </c>
      <c r="K178" s="131">
        <f t="shared" si="79"/>
        <v>0</v>
      </c>
      <c r="L178" s="131">
        <f t="shared" si="79"/>
        <v>188631023</v>
      </c>
      <c r="M178" s="131">
        <f t="shared" si="79"/>
        <v>0</v>
      </c>
    </row>
    <row r="179" spans="1:13" ht="14.25" customHeight="1">
      <c r="A179" s="31">
        <v>511114</v>
      </c>
      <c r="B179" s="32" t="s">
        <v>91</v>
      </c>
      <c r="C179" s="129">
        <v>0</v>
      </c>
      <c r="D179" s="124">
        <v>0</v>
      </c>
      <c r="E179" s="124">
        <v>0</v>
      </c>
      <c r="F179" s="124">
        <v>23106600</v>
      </c>
      <c r="G179" s="124">
        <v>0</v>
      </c>
      <c r="H179" s="124">
        <v>0</v>
      </c>
      <c r="I179" s="124">
        <v>0</v>
      </c>
      <c r="J179" s="124">
        <v>0</v>
      </c>
      <c r="K179" s="127">
        <v>0</v>
      </c>
      <c r="L179" s="127">
        <f>D179+F179+H179+J179</f>
        <v>23106600</v>
      </c>
      <c r="M179" s="251">
        <v>0</v>
      </c>
    </row>
    <row r="180" spans="1:13" ht="14.25" customHeight="1">
      <c r="A180" s="31">
        <v>511115</v>
      </c>
      <c r="B180" s="32" t="s">
        <v>92</v>
      </c>
      <c r="C180" s="129">
        <v>0</v>
      </c>
      <c r="D180" s="124">
        <v>0</v>
      </c>
      <c r="E180" s="124">
        <v>0</v>
      </c>
      <c r="F180" s="124">
        <v>0</v>
      </c>
      <c r="G180" s="124">
        <v>0</v>
      </c>
      <c r="H180" s="124">
        <v>0</v>
      </c>
      <c r="I180" s="124">
        <v>0</v>
      </c>
      <c r="J180" s="124">
        <v>0</v>
      </c>
      <c r="K180" s="127">
        <v>0</v>
      </c>
      <c r="L180" s="127">
        <f>D180+F180+H180+J180</f>
        <v>0</v>
      </c>
      <c r="M180" s="251">
        <v>0</v>
      </c>
    </row>
    <row r="181" spans="1:13" ht="14.25" customHeight="1">
      <c r="A181" s="31">
        <v>511117</v>
      </c>
      <c r="B181" s="32" t="s">
        <v>13</v>
      </c>
      <c r="C181" s="129">
        <v>0</v>
      </c>
      <c r="D181" s="131">
        <f>SUM(D182:D185)</f>
        <v>3738248</v>
      </c>
      <c r="E181" s="126">
        <v>0</v>
      </c>
      <c r="F181" s="131">
        <f>SUM(F182:F185)</f>
        <v>4339592</v>
      </c>
      <c r="G181" s="126">
        <v>0</v>
      </c>
      <c r="H181" s="131">
        <f>SUM(H182:H185)</f>
        <v>0</v>
      </c>
      <c r="I181" s="127">
        <v>0</v>
      </c>
      <c r="J181" s="179">
        <f>SUM(J182:J185)</f>
        <v>0</v>
      </c>
      <c r="K181" s="127">
        <v>0</v>
      </c>
      <c r="L181" s="179">
        <f>SUM(L182:L185)</f>
        <v>8077840</v>
      </c>
      <c r="M181" s="251">
        <v>0</v>
      </c>
    </row>
    <row r="182" spans="1:13" ht="14.25" customHeight="1">
      <c r="A182" s="31">
        <v>51111701</v>
      </c>
      <c r="B182" s="32" t="s">
        <v>93</v>
      </c>
      <c r="C182" s="129">
        <v>0</v>
      </c>
      <c r="D182" s="124">
        <v>3178240</v>
      </c>
      <c r="E182" s="124">
        <v>0</v>
      </c>
      <c r="F182" s="124">
        <v>3644530</v>
      </c>
      <c r="G182" s="124">
        <v>0</v>
      </c>
      <c r="H182" s="124">
        <v>0</v>
      </c>
      <c r="I182" s="124">
        <v>0</v>
      </c>
      <c r="J182" s="124">
        <v>0</v>
      </c>
      <c r="K182" s="127">
        <v>0</v>
      </c>
      <c r="L182" s="127">
        <f t="shared" ref="L182:L186" si="80">D182+F182+H182+J182</f>
        <v>6822770</v>
      </c>
      <c r="M182" s="251">
        <v>0</v>
      </c>
    </row>
    <row r="183" spans="1:13" ht="14.25" customHeight="1">
      <c r="A183" s="31">
        <v>51111702</v>
      </c>
      <c r="B183" s="32" t="s">
        <v>94</v>
      </c>
      <c r="C183" s="129">
        <v>0</v>
      </c>
      <c r="D183" s="124">
        <v>344307</v>
      </c>
      <c r="E183" s="124">
        <v>0</v>
      </c>
      <c r="F183" s="124">
        <v>398712</v>
      </c>
      <c r="G183" s="124">
        <v>0</v>
      </c>
      <c r="H183" s="124">
        <v>0</v>
      </c>
      <c r="I183" s="124">
        <v>0</v>
      </c>
      <c r="J183" s="124">
        <v>0</v>
      </c>
      <c r="K183" s="127">
        <v>0</v>
      </c>
      <c r="L183" s="127">
        <f t="shared" si="80"/>
        <v>743019</v>
      </c>
      <c r="M183" s="251">
        <v>0</v>
      </c>
    </row>
    <row r="184" spans="1:13" ht="14.25" customHeight="1">
      <c r="A184" s="31">
        <v>51111703</v>
      </c>
      <c r="B184" s="32" t="s">
        <v>95</v>
      </c>
      <c r="C184" s="129">
        <v>0</v>
      </c>
      <c r="D184" s="124">
        <v>200061</v>
      </c>
      <c r="E184" s="124">
        <v>0</v>
      </c>
      <c r="F184" s="124">
        <v>202670</v>
      </c>
      <c r="G184" s="124">
        <v>0</v>
      </c>
      <c r="H184" s="124">
        <v>0</v>
      </c>
      <c r="I184" s="124">
        <v>0</v>
      </c>
      <c r="J184" s="124">
        <v>0</v>
      </c>
      <c r="K184" s="127">
        <v>0</v>
      </c>
      <c r="L184" s="127">
        <f t="shared" si="80"/>
        <v>402731</v>
      </c>
      <c r="M184" s="251">
        <v>0</v>
      </c>
    </row>
    <row r="185" spans="1:13" ht="14.25" customHeight="1">
      <c r="A185" s="31">
        <v>51111704</v>
      </c>
      <c r="B185" s="32" t="s">
        <v>96</v>
      </c>
      <c r="C185" s="129">
        <v>0</v>
      </c>
      <c r="D185" s="124">
        <v>15640</v>
      </c>
      <c r="E185" s="124">
        <v>0</v>
      </c>
      <c r="F185" s="124">
        <v>93680</v>
      </c>
      <c r="G185" s="124">
        <v>0</v>
      </c>
      <c r="H185" s="124">
        <v>0</v>
      </c>
      <c r="I185" s="124">
        <v>0</v>
      </c>
      <c r="J185" s="124">
        <v>0</v>
      </c>
      <c r="K185" s="127">
        <v>0</v>
      </c>
      <c r="L185" s="127">
        <f t="shared" si="80"/>
        <v>109320</v>
      </c>
      <c r="M185" s="251">
        <v>0</v>
      </c>
    </row>
    <row r="186" spans="1:13" ht="14.25" customHeight="1">
      <c r="A186" s="31">
        <v>511118</v>
      </c>
      <c r="B186" s="32" t="s">
        <v>32</v>
      </c>
      <c r="C186" s="129">
        <v>0</v>
      </c>
      <c r="D186" s="124">
        <v>26092788</v>
      </c>
      <c r="E186" s="124">
        <v>0</v>
      </c>
      <c r="F186" s="124">
        <v>26092788</v>
      </c>
      <c r="G186" s="124">
        <v>0</v>
      </c>
      <c r="H186" s="124">
        <v>0</v>
      </c>
      <c r="I186" s="124">
        <v>0</v>
      </c>
      <c r="J186" s="124">
        <v>0</v>
      </c>
      <c r="K186" s="127">
        <v>0</v>
      </c>
      <c r="L186" s="127">
        <f t="shared" si="80"/>
        <v>52185576</v>
      </c>
      <c r="M186" s="251">
        <v>0</v>
      </c>
    </row>
    <row r="187" spans="1:13" ht="14.25" customHeight="1">
      <c r="A187" s="31">
        <v>511119</v>
      </c>
      <c r="B187" s="32" t="s">
        <v>15</v>
      </c>
      <c r="C187" s="129">
        <v>0</v>
      </c>
      <c r="D187" s="124">
        <v>2470000</v>
      </c>
      <c r="E187" s="124">
        <v>0</v>
      </c>
      <c r="F187" s="124">
        <f>9196335+165000</f>
        <v>9361335</v>
      </c>
      <c r="G187" s="124">
        <v>0</v>
      </c>
      <c r="H187" s="124">
        <v>0</v>
      </c>
      <c r="I187" s="124">
        <v>0</v>
      </c>
      <c r="J187" s="124">
        <v>0</v>
      </c>
      <c r="K187" s="127">
        <v>0</v>
      </c>
      <c r="L187" s="127">
        <f>D187+F187+H187+J187-G187</f>
        <v>11831335</v>
      </c>
      <c r="M187" s="251">
        <v>0</v>
      </c>
    </row>
    <row r="188" spans="1:13" ht="14.25" customHeight="1">
      <c r="A188" s="31">
        <v>511120</v>
      </c>
      <c r="B188" s="32" t="s">
        <v>97</v>
      </c>
      <c r="C188" s="129">
        <v>0</v>
      </c>
      <c r="D188" s="124">
        <v>0</v>
      </c>
      <c r="E188" s="124">
        <v>0</v>
      </c>
      <c r="F188" s="124">
        <v>0</v>
      </c>
      <c r="G188" s="124">
        <v>0</v>
      </c>
      <c r="H188" s="124">
        <v>0</v>
      </c>
      <c r="I188" s="124">
        <v>0</v>
      </c>
      <c r="J188" s="124">
        <v>0</v>
      </c>
      <c r="K188" s="127">
        <v>0</v>
      </c>
      <c r="L188" s="127">
        <f t="shared" ref="L188:L195" si="81">D188+F188+H188+J188</f>
        <v>0</v>
      </c>
      <c r="M188" s="251">
        <v>0</v>
      </c>
    </row>
    <row r="189" spans="1:13" ht="14.25" customHeight="1">
      <c r="A189" s="31">
        <v>511123</v>
      </c>
      <c r="B189" s="32" t="s">
        <v>98</v>
      </c>
      <c r="C189" s="129">
        <v>0</v>
      </c>
      <c r="D189" s="124">
        <v>0</v>
      </c>
      <c r="E189" s="124">
        <v>0</v>
      </c>
      <c r="F189" s="124">
        <v>0</v>
      </c>
      <c r="G189" s="124">
        <v>0</v>
      </c>
      <c r="H189" s="124">
        <v>0</v>
      </c>
      <c r="I189" s="124">
        <v>0</v>
      </c>
      <c r="J189" s="124">
        <v>0</v>
      </c>
      <c r="K189" s="127">
        <v>0</v>
      </c>
      <c r="L189" s="127">
        <f t="shared" si="81"/>
        <v>0</v>
      </c>
      <c r="M189" s="251">
        <v>0</v>
      </c>
    </row>
    <row r="190" spans="1:13" ht="14.25" customHeight="1">
      <c r="A190" s="31">
        <v>511121</v>
      </c>
      <c r="B190" s="32" t="s">
        <v>139</v>
      </c>
      <c r="C190" s="129">
        <v>0</v>
      </c>
      <c r="D190" s="124">
        <v>0</v>
      </c>
      <c r="E190" s="124">
        <v>0</v>
      </c>
      <c r="F190" s="124">
        <v>0</v>
      </c>
      <c r="G190" s="124">
        <v>0</v>
      </c>
      <c r="H190" s="124">
        <v>0</v>
      </c>
      <c r="I190" s="124">
        <v>0</v>
      </c>
      <c r="J190" s="124">
        <v>0</v>
      </c>
      <c r="K190" s="127">
        <v>0</v>
      </c>
      <c r="L190" s="127">
        <f t="shared" si="81"/>
        <v>0</v>
      </c>
      <c r="M190" s="251">
        <v>0</v>
      </c>
    </row>
    <row r="191" spans="1:13" ht="14.25" customHeight="1">
      <c r="A191" s="31">
        <v>511125</v>
      </c>
      <c r="B191" s="32" t="s">
        <v>140</v>
      </c>
      <c r="C191" s="129">
        <v>0</v>
      </c>
      <c r="D191" s="124">
        <v>0</v>
      </c>
      <c r="E191" s="124">
        <v>0</v>
      </c>
      <c r="F191" s="124">
        <v>0</v>
      </c>
      <c r="G191" s="124">
        <v>0</v>
      </c>
      <c r="H191" s="124">
        <v>0</v>
      </c>
      <c r="I191" s="124">
        <v>0</v>
      </c>
      <c r="J191" s="124">
        <v>0</v>
      </c>
      <c r="K191" s="127">
        <v>0</v>
      </c>
      <c r="L191" s="127">
        <f t="shared" si="81"/>
        <v>0</v>
      </c>
      <c r="M191" s="251">
        <v>0</v>
      </c>
    </row>
    <row r="192" spans="1:13" ht="14.25" customHeight="1">
      <c r="A192" s="31">
        <v>511146</v>
      </c>
      <c r="B192" s="32" t="s">
        <v>99</v>
      </c>
      <c r="C192" s="129">
        <v>0</v>
      </c>
      <c r="D192" s="124">
        <v>0</v>
      </c>
      <c r="E192" s="124">
        <v>0</v>
      </c>
      <c r="F192" s="124">
        <v>5559992</v>
      </c>
      <c r="G192" s="124">
        <v>0</v>
      </c>
      <c r="H192" s="124">
        <v>0</v>
      </c>
      <c r="I192" s="124">
        <v>0</v>
      </c>
      <c r="J192" s="124">
        <v>0</v>
      </c>
      <c r="K192" s="127">
        <v>0</v>
      </c>
      <c r="L192" s="127">
        <f t="shared" si="81"/>
        <v>5559992</v>
      </c>
      <c r="M192" s="251">
        <v>0</v>
      </c>
    </row>
    <row r="193" spans="1:14" ht="14.25" customHeight="1">
      <c r="A193" s="31">
        <v>511155</v>
      </c>
      <c r="B193" s="32" t="s">
        <v>298</v>
      </c>
      <c r="C193" s="129">
        <v>0</v>
      </c>
      <c r="D193" s="124">
        <v>0</v>
      </c>
      <c r="E193" s="124">
        <v>0</v>
      </c>
      <c r="F193" s="124">
        <v>23734200</v>
      </c>
      <c r="G193" s="124">
        <v>0</v>
      </c>
      <c r="H193" s="124">
        <v>0</v>
      </c>
      <c r="I193" s="124">
        <v>0</v>
      </c>
      <c r="J193" s="124">
        <v>0</v>
      </c>
      <c r="K193" s="127">
        <v>0</v>
      </c>
      <c r="L193" s="127">
        <f t="shared" ref="L193" si="82">D193+F193+H193+J193</f>
        <v>23734200</v>
      </c>
      <c r="M193" s="251">
        <v>0</v>
      </c>
    </row>
    <row r="194" spans="1:14" s="49" customFormat="1" ht="14.25" customHeight="1">
      <c r="A194" s="31">
        <v>511164</v>
      </c>
      <c r="B194" s="32" t="s">
        <v>141</v>
      </c>
      <c r="C194" s="129">
        <v>0</v>
      </c>
      <c r="D194" s="124">
        <v>2189500</v>
      </c>
      <c r="E194" s="124">
        <v>0</v>
      </c>
      <c r="F194" s="124">
        <v>0</v>
      </c>
      <c r="G194" s="124">
        <v>0</v>
      </c>
      <c r="H194" s="124">
        <v>0</v>
      </c>
      <c r="I194" s="124">
        <v>0</v>
      </c>
      <c r="J194" s="124">
        <v>0</v>
      </c>
      <c r="K194" s="127">
        <v>0</v>
      </c>
      <c r="L194" s="127">
        <f>D194+F194+H194+J194</f>
        <v>2189500</v>
      </c>
      <c r="M194" s="251">
        <v>0</v>
      </c>
    </row>
    <row r="195" spans="1:14" ht="14.25" customHeight="1">
      <c r="A195" s="31">
        <v>511165</v>
      </c>
      <c r="B195" s="32" t="s">
        <v>50</v>
      </c>
      <c r="C195" s="129">
        <v>0</v>
      </c>
      <c r="D195" s="124">
        <v>0</v>
      </c>
      <c r="E195" s="124">
        <v>0</v>
      </c>
      <c r="F195" s="124">
        <v>0</v>
      </c>
      <c r="G195" s="124">
        <v>0</v>
      </c>
      <c r="H195" s="124">
        <v>0</v>
      </c>
      <c r="I195" s="124">
        <v>0</v>
      </c>
      <c r="J195" s="124">
        <v>0</v>
      </c>
      <c r="K195" s="127">
        <v>0</v>
      </c>
      <c r="L195" s="127">
        <f t="shared" si="81"/>
        <v>0</v>
      </c>
      <c r="M195" s="251">
        <v>0</v>
      </c>
    </row>
    <row r="196" spans="1:14" ht="14.25" customHeight="1">
      <c r="A196" s="31">
        <v>511179</v>
      </c>
      <c r="B196" s="32" t="s">
        <v>23</v>
      </c>
      <c r="C196" s="129">
        <v>0</v>
      </c>
      <c r="D196" s="124">
        <v>0</v>
      </c>
      <c r="E196" s="124">
        <v>0</v>
      </c>
      <c r="F196" s="124">
        <v>19000000</v>
      </c>
      <c r="G196" s="124">
        <v>0</v>
      </c>
      <c r="H196" s="124">
        <v>0</v>
      </c>
      <c r="I196" s="124">
        <v>0</v>
      </c>
      <c r="J196" s="124">
        <v>0</v>
      </c>
      <c r="K196" s="127">
        <v>0</v>
      </c>
      <c r="L196" s="127">
        <f>+D196-E196+F196-G196+H196-I196</f>
        <v>19000000</v>
      </c>
      <c r="M196" s="251">
        <v>0</v>
      </c>
      <c r="N196" s="88">
        <f>+D196+F196+H196-I196</f>
        <v>19000000</v>
      </c>
    </row>
    <row r="197" spans="1:14" ht="14.25" customHeight="1">
      <c r="A197" s="31">
        <v>511190</v>
      </c>
      <c r="B197" s="32" t="s">
        <v>100</v>
      </c>
      <c r="C197" s="129">
        <v>0</v>
      </c>
      <c r="D197" s="124">
        <v>42945980</v>
      </c>
      <c r="E197" s="124">
        <v>0</v>
      </c>
      <c r="F197" s="124">
        <v>0</v>
      </c>
      <c r="G197" s="124">
        <v>0</v>
      </c>
      <c r="H197" s="124">
        <v>0</v>
      </c>
      <c r="I197" s="124">
        <v>0</v>
      </c>
      <c r="J197" s="124">
        <v>0</v>
      </c>
      <c r="K197" s="127">
        <v>0</v>
      </c>
      <c r="L197" s="127">
        <f>D197+F197+H197+J197</f>
        <v>42945980</v>
      </c>
      <c r="M197" s="251">
        <v>0</v>
      </c>
    </row>
    <row r="198" spans="1:14" s="49" customFormat="1" ht="14.25" customHeight="1">
      <c r="A198" s="29">
        <v>5120</v>
      </c>
      <c r="B198" s="30" t="s">
        <v>101</v>
      </c>
      <c r="C198" s="125">
        <v>0</v>
      </c>
      <c r="D198" s="131">
        <f>+SUM(D199:D203)</f>
        <v>808674</v>
      </c>
      <c r="E198" s="131">
        <f>+SUM(E199:E203)</f>
        <v>0</v>
      </c>
      <c r="F198" s="131">
        <f>+SUM(F199:F203)</f>
        <v>141610</v>
      </c>
      <c r="G198" s="131">
        <f>+SUM(G199:G203)</f>
        <v>0</v>
      </c>
      <c r="H198" s="126">
        <f>SUM(H199:H203)</f>
        <v>0</v>
      </c>
      <c r="I198" s="131">
        <f>+SUM(I199:I203)</f>
        <v>0</v>
      </c>
      <c r="J198" s="126">
        <f>SUM(J199:J203)</f>
        <v>0</v>
      </c>
      <c r="K198" s="131">
        <f>+SUM(K199:K203)</f>
        <v>0</v>
      </c>
      <c r="L198" s="126">
        <f>SUM(L199:L203)</f>
        <v>950284</v>
      </c>
      <c r="M198" s="253">
        <f>+SUM(M199:M203)</f>
        <v>0</v>
      </c>
    </row>
    <row r="199" spans="1:14" ht="14.25" customHeight="1">
      <c r="A199" s="31">
        <v>512008</v>
      </c>
      <c r="B199" s="32" t="s">
        <v>102</v>
      </c>
      <c r="C199" s="129">
        <v>0</v>
      </c>
      <c r="D199" s="124">
        <v>0</v>
      </c>
      <c r="E199" s="124">
        <v>0</v>
      </c>
      <c r="F199" s="124">
        <v>0</v>
      </c>
      <c r="G199" s="124">
        <v>0</v>
      </c>
      <c r="H199" s="124">
        <v>0</v>
      </c>
      <c r="I199" s="124">
        <v>0</v>
      </c>
      <c r="J199" s="124">
        <v>0</v>
      </c>
      <c r="K199" s="127">
        <v>0</v>
      </c>
      <c r="L199" s="127">
        <f>D199+F199+H199+J199</f>
        <v>0</v>
      </c>
      <c r="M199" s="251">
        <v>0</v>
      </c>
    </row>
    <row r="200" spans="1:14" ht="14.25" customHeight="1">
      <c r="A200" s="31">
        <v>512011</v>
      </c>
      <c r="B200" s="32" t="s">
        <v>185</v>
      </c>
      <c r="C200" s="129"/>
      <c r="D200" s="124">
        <v>670575</v>
      </c>
      <c r="E200" s="124">
        <v>0</v>
      </c>
      <c r="F200" s="124">
        <v>0</v>
      </c>
      <c r="G200" s="124">
        <v>0</v>
      </c>
      <c r="H200" s="124">
        <v>0</v>
      </c>
      <c r="I200" s="124">
        <v>0</v>
      </c>
      <c r="J200" s="124">
        <v>0</v>
      </c>
      <c r="K200" s="127"/>
      <c r="L200" s="127">
        <f>D200+F200+H200+J200</f>
        <v>670575</v>
      </c>
      <c r="M200" s="251"/>
    </row>
    <row r="201" spans="1:14" ht="14.25" customHeight="1">
      <c r="A201" s="31">
        <v>512017</v>
      </c>
      <c r="B201" s="32" t="s">
        <v>103</v>
      </c>
      <c r="C201" s="129">
        <v>0</v>
      </c>
      <c r="D201" s="124">
        <v>0</v>
      </c>
      <c r="E201" s="124">
        <v>0</v>
      </c>
      <c r="F201" s="124">
        <v>0</v>
      </c>
      <c r="G201" s="124">
        <v>0</v>
      </c>
      <c r="H201" s="124">
        <v>0</v>
      </c>
      <c r="I201" s="124">
        <v>0</v>
      </c>
      <c r="J201" s="124">
        <v>0</v>
      </c>
      <c r="K201" s="127">
        <v>0</v>
      </c>
      <c r="L201" s="127">
        <f>D201+F201+H201+J201</f>
        <v>0</v>
      </c>
      <c r="M201" s="251">
        <v>0</v>
      </c>
    </row>
    <row r="202" spans="1:14" ht="14.25" customHeight="1">
      <c r="A202" s="31">
        <v>512024</v>
      </c>
      <c r="B202" s="32" t="s">
        <v>142</v>
      </c>
      <c r="C202" s="129">
        <v>0</v>
      </c>
      <c r="D202" s="124">
        <f>13209+124890</f>
        <v>138099</v>
      </c>
      <c r="E202" s="124">
        <v>0</v>
      </c>
      <c r="F202" s="124">
        <v>141610</v>
      </c>
      <c r="G202" s="124">
        <v>0</v>
      </c>
      <c r="H202" s="124">
        <v>0</v>
      </c>
      <c r="I202" s="124">
        <v>0</v>
      </c>
      <c r="J202" s="124">
        <v>0</v>
      </c>
      <c r="K202" s="127">
        <v>0</v>
      </c>
      <c r="L202" s="127">
        <f>D202+F202+H202+J202</f>
        <v>279709</v>
      </c>
      <c r="M202" s="251">
        <v>0</v>
      </c>
    </row>
    <row r="203" spans="1:14" ht="14.25" customHeight="1">
      <c r="A203" s="31">
        <v>512090</v>
      </c>
      <c r="B203" s="32" t="s">
        <v>167</v>
      </c>
      <c r="C203" s="129">
        <v>0</v>
      </c>
      <c r="D203" s="127">
        <v>0</v>
      </c>
      <c r="E203" s="127">
        <v>0</v>
      </c>
      <c r="F203" s="127">
        <v>0</v>
      </c>
      <c r="G203" s="127">
        <v>0</v>
      </c>
      <c r="H203" s="127">
        <v>0</v>
      </c>
      <c r="I203" s="127">
        <v>0</v>
      </c>
      <c r="J203" s="127">
        <v>0</v>
      </c>
      <c r="K203" s="127">
        <v>0</v>
      </c>
      <c r="L203" s="127">
        <f>D203+F203+H203+J203</f>
        <v>0</v>
      </c>
      <c r="M203" s="251">
        <v>0</v>
      </c>
    </row>
    <row r="204" spans="1:14" s="48" customFormat="1" ht="19.5" customHeight="1">
      <c r="A204" s="27">
        <v>53</v>
      </c>
      <c r="B204" s="28" t="s">
        <v>104</v>
      </c>
      <c r="C204" s="125">
        <v>0</v>
      </c>
      <c r="D204" s="131">
        <f>+D205</f>
        <v>0</v>
      </c>
      <c r="E204" s="131">
        <f t="shared" ref="E204:M204" si="83">+E205</f>
        <v>0</v>
      </c>
      <c r="F204" s="131">
        <f>+F205+F210</f>
        <v>0</v>
      </c>
      <c r="G204" s="131">
        <f t="shared" si="83"/>
        <v>0</v>
      </c>
      <c r="H204" s="131">
        <f>H205</f>
        <v>0</v>
      </c>
      <c r="I204" s="131">
        <f t="shared" si="83"/>
        <v>0</v>
      </c>
      <c r="J204" s="131">
        <f>J205</f>
        <v>0</v>
      </c>
      <c r="K204" s="131">
        <f t="shared" si="83"/>
        <v>0</v>
      </c>
      <c r="L204" s="131">
        <f>L205+L210</f>
        <v>0</v>
      </c>
      <c r="M204" s="253">
        <f t="shared" si="83"/>
        <v>0</v>
      </c>
    </row>
    <row r="205" spans="1:14" s="49" customFormat="1" ht="14.25" customHeight="1">
      <c r="A205" s="29">
        <v>5360</v>
      </c>
      <c r="B205" s="30" t="s">
        <v>105</v>
      </c>
      <c r="C205" s="125">
        <v>0</v>
      </c>
      <c r="D205" s="131">
        <f>+SUM(D206:D212)</f>
        <v>0</v>
      </c>
      <c r="E205" s="131">
        <f>+SUM(E206:E212)</f>
        <v>0</v>
      </c>
      <c r="F205" s="131">
        <f>+SUM(F206:F209)</f>
        <v>0</v>
      </c>
      <c r="G205" s="131">
        <f>+SUM(G206:G212)</f>
        <v>0</v>
      </c>
      <c r="H205" s="131">
        <f>+SUM(H206:H212)</f>
        <v>0</v>
      </c>
      <c r="I205" s="131">
        <f>+SUM(I206:I212)</f>
        <v>0</v>
      </c>
      <c r="J205" s="131">
        <f>+SUM(J206:J212)</f>
        <v>0</v>
      </c>
      <c r="K205" s="131">
        <f>+SUM(K206:K212)</f>
        <v>0</v>
      </c>
      <c r="L205" s="131">
        <f>+SUM(L206:L209)</f>
        <v>0</v>
      </c>
      <c r="M205" s="253">
        <f>+SUM(M206:M212)</f>
        <v>0</v>
      </c>
    </row>
    <row r="206" spans="1:14" ht="14.25" customHeight="1">
      <c r="A206" s="31">
        <v>536004</v>
      </c>
      <c r="B206" s="32" t="s">
        <v>106</v>
      </c>
      <c r="C206" s="129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f t="shared" ref="L206:L212" si="84">D206+F206+H206+J206</f>
        <v>0</v>
      </c>
      <c r="M206" s="251">
        <v>0</v>
      </c>
    </row>
    <row r="207" spans="1:14" ht="14.25" customHeight="1">
      <c r="A207" s="31">
        <v>536006</v>
      </c>
      <c r="B207" s="32" t="s">
        <v>38</v>
      </c>
      <c r="C207" s="129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7">
        <v>0</v>
      </c>
      <c r="J207" s="127">
        <v>0</v>
      </c>
      <c r="K207" s="127">
        <v>0</v>
      </c>
      <c r="L207" s="127">
        <f t="shared" si="84"/>
        <v>0</v>
      </c>
      <c r="M207" s="251">
        <v>0</v>
      </c>
    </row>
    <row r="208" spans="1:14" ht="14.25" customHeight="1">
      <c r="A208" s="31">
        <v>536007</v>
      </c>
      <c r="B208" s="32" t="s">
        <v>41</v>
      </c>
      <c r="C208" s="129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7">
        <v>0</v>
      </c>
      <c r="J208" s="127">
        <v>0</v>
      </c>
      <c r="K208" s="127">
        <v>0</v>
      </c>
      <c r="L208" s="127">
        <f t="shared" si="84"/>
        <v>0</v>
      </c>
      <c r="M208" s="251">
        <v>0</v>
      </c>
    </row>
    <row r="209" spans="1:13" ht="14.25" customHeight="1">
      <c r="A209" s="31">
        <v>536008</v>
      </c>
      <c r="B209" s="32" t="s">
        <v>46</v>
      </c>
      <c r="C209" s="129">
        <v>0</v>
      </c>
      <c r="D209" s="127">
        <v>0</v>
      </c>
      <c r="E209" s="127">
        <v>0</v>
      </c>
      <c r="F209" s="127">
        <v>0</v>
      </c>
      <c r="G209" s="127">
        <v>0</v>
      </c>
      <c r="H209" s="127">
        <v>0</v>
      </c>
      <c r="I209" s="127">
        <v>0</v>
      </c>
      <c r="J209" s="127">
        <v>0</v>
      </c>
      <c r="K209" s="127">
        <v>0</v>
      </c>
      <c r="L209" s="127">
        <f t="shared" si="84"/>
        <v>0</v>
      </c>
      <c r="M209" s="251">
        <v>0</v>
      </c>
    </row>
    <row r="210" spans="1:13" ht="14.25" customHeight="1">
      <c r="A210" s="29">
        <v>5366</v>
      </c>
      <c r="B210" s="30" t="s">
        <v>254</v>
      </c>
      <c r="C210" s="125">
        <v>0</v>
      </c>
      <c r="D210" s="126">
        <v>0</v>
      </c>
      <c r="E210" s="126">
        <v>0</v>
      </c>
      <c r="F210" s="126">
        <f>+F211</f>
        <v>0</v>
      </c>
      <c r="G210" s="126"/>
      <c r="H210" s="126"/>
      <c r="I210" s="126"/>
      <c r="J210" s="126"/>
      <c r="K210" s="126"/>
      <c r="L210" s="126">
        <f>F210</f>
        <v>0</v>
      </c>
      <c r="M210" s="251"/>
    </row>
    <row r="211" spans="1:13" ht="14.25" customHeight="1">
      <c r="A211" s="31">
        <v>536690</v>
      </c>
      <c r="B211" s="33" t="s">
        <v>255</v>
      </c>
      <c r="C211" s="129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7">
        <v>0</v>
      </c>
      <c r="J211" s="127">
        <v>0</v>
      </c>
      <c r="K211" s="127">
        <v>0</v>
      </c>
      <c r="L211" s="127">
        <f t="shared" si="84"/>
        <v>0</v>
      </c>
      <c r="M211" s="251">
        <v>0</v>
      </c>
    </row>
    <row r="212" spans="1:13" ht="14.25" customHeight="1">
      <c r="A212" s="31">
        <v>536605</v>
      </c>
      <c r="B212" s="33" t="s">
        <v>52</v>
      </c>
      <c r="C212" s="129">
        <v>0</v>
      </c>
      <c r="D212" s="128">
        <v>0</v>
      </c>
      <c r="E212" s="127">
        <v>0</v>
      </c>
      <c r="F212" s="127">
        <v>0</v>
      </c>
      <c r="G212" s="127">
        <v>0</v>
      </c>
      <c r="H212" s="127">
        <v>0</v>
      </c>
      <c r="I212" s="127">
        <v>0</v>
      </c>
      <c r="J212" s="127">
        <v>0</v>
      </c>
      <c r="K212" s="127">
        <v>0</v>
      </c>
      <c r="L212" s="127">
        <f t="shared" si="84"/>
        <v>0</v>
      </c>
      <c r="M212" s="251">
        <v>0</v>
      </c>
    </row>
    <row r="213" spans="1:13" ht="14.25" customHeight="1">
      <c r="A213" s="135">
        <v>54</v>
      </c>
      <c r="B213" s="40" t="s">
        <v>165</v>
      </c>
      <c r="C213" s="129">
        <v>0</v>
      </c>
      <c r="D213" s="131">
        <f>D214</f>
        <v>0</v>
      </c>
      <c r="E213" s="131">
        <f t="shared" ref="E213:M213" si="85">E214</f>
        <v>0</v>
      </c>
      <c r="F213" s="131">
        <v>0</v>
      </c>
      <c r="G213" s="131">
        <v>0</v>
      </c>
      <c r="H213" s="131">
        <v>0</v>
      </c>
      <c r="I213" s="131">
        <v>0</v>
      </c>
      <c r="J213" s="131">
        <v>0</v>
      </c>
      <c r="K213" s="131">
        <f t="shared" si="85"/>
        <v>0</v>
      </c>
      <c r="L213" s="131">
        <f t="shared" si="85"/>
        <v>0</v>
      </c>
      <c r="M213" s="253">
        <f t="shared" si="85"/>
        <v>0</v>
      </c>
    </row>
    <row r="214" spans="1:13" ht="14.25" customHeight="1">
      <c r="A214" s="29">
        <v>5423</v>
      </c>
      <c r="B214" s="40" t="s">
        <v>166</v>
      </c>
      <c r="C214" s="129">
        <v>0</v>
      </c>
      <c r="D214" s="131">
        <f t="shared" ref="D214:M214" si="86">SUM(D215:D216)</f>
        <v>0</v>
      </c>
      <c r="E214" s="131">
        <f t="shared" si="86"/>
        <v>0</v>
      </c>
      <c r="F214" s="131">
        <f t="shared" si="86"/>
        <v>0</v>
      </c>
      <c r="G214" s="131">
        <f t="shared" si="86"/>
        <v>0</v>
      </c>
      <c r="H214" s="131">
        <f t="shared" si="86"/>
        <v>0</v>
      </c>
      <c r="I214" s="131">
        <f t="shared" si="86"/>
        <v>0</v>
      </c>
      <c r="J214" s="131">
        <f t="shared" si="86"/>
        <v>0</v>
      </c>
      <c r="K214" s="131">
        <f t="shared" si="86"/>
        <v>0</v>
      </c>
      <c r="L214" s="131">
        <f t="shared" si="86"/>
        <v>0</v>
      </c>
      <c r="M214" s="253">
        <f t="shared" si="86"/>
        <v>0</v>
      </c>
    </row>
    <row r="215" spans="1:13" ht="14.25" customHeight="1">
      <c r="A215" s="31">
        <v>542303</v>
      </c>
      <c r="B215" s="33" t="s">
        <v>67</v>
      </c>
      <c r="C215" s="129">
        <v>0</v>
      </c>
      <c r="D215" s="131">
        <v>0</v>
      </c>
      <c r="E215" s="131">
        <v>0</v>
      </c>
      <c r="F215" s="127">
        <v>0</v>
      </c>
      <c r="G215" s="131">
        <v>0</v>
      </c>
      <c r="H215" s="127">
        <f>D215+F215</f>
        <v>0</v>
      </c>
      <c r="I215" s="131">
        <v>0</v>
      </c>
      <c r="J215" s="127">
        <f>F215+H215</f>
        <v>0</v>
      </c>
      <c r="K215" s="131">
        <v>0</v>
      </c>
      <c r="L215" s="127">
        <f>D215+F215+H215-I215</f>
        <v>0</v>
      </c>
      <c r="M215" s="253">
        <v>0</v>
      </c>
    </row>
    <row r="216" spans="1:13" ht="14.25" customHeight="1">
      <c r="A216" s="31">
        <v>542390</v>
      </c>
      <c r="B216" s="33" t="s">
        <v>199</v>
      </c>
      <c r="C216" s="129">
        <v>0</v>
      </c>
      <c r="D216" s="128">
        <v>0</v>
      </c>
      <c r="E216" s="128">
        <v>0</v>
      </c>
      <c r="F216" s="127">
        <v>0</v>
      </c>
      <c r="G216" s="128">
        <v>0</v>
      </c>
      <c r="H216" s="127">
        <v>0</v>
      </c>
      <c r="I216" s="128">
        <v>0</v>
      </c>
      <c r="J216" s="127">
        <v>0</v>
      </c>
      <c r="K216" s="128">
        <v>0</v>
      </c>
      <c r="L216" s="127">
        <f>D216+F216+H216+J216</f>
        <v>0</v>
      </c>
      <c r="M216" s="252">
        <v>0</v>
      </c>
    </row>
    <row r="217" spans="1:13" s="48" customFormat="1" ht="14.25" customHeight="1">
      <c r="A217" s="27">
        <v>55</v>
      </c>
      <c r="B217" s="28" t="s">
        <v>107</v>
      </c>
      <c r="C217" s="125">
        <v>0</v>
      </c>
      <c r="D217" s="131">
        <f>+D218</f>
        <v>0</v>
      </c>
      <c r="E217" s="131">
        <f t="shared" ref="E217:M218" si="87">+E218</f>
        <v>0</v>
      </c>
      <c r="F217" s="131">
        <f t="shared" si="87"/>
        <v>0</v>
      </c>
      <c r="G217" s="131">
        <f t="shared" si="87"/>
        <v>0</v>
      </c>
      <c r="H217" s="131">
        <f>H218</f>
        <v>0</v>
      </c>
      <c r="I217" s="131">
        <f t="shared" si="87"/>
        <v>0</v>
      </c>
      <c r="J217" s="131">
        <f>J218</f>
        <v>0</v>
      </c>
      <c r="K217" s="131">
        <f t="shared" si="87"/>
        <v>0</v>
      </c>
      <c r="L217" s="131">
        <f>L218</f>
        <v>0</v>
      </c>
      <c r="M217" s="253">
        <f t="shared" si="87"/>
        <v>0</v>
      </c>
    </row>
    <row r="218" spans="1:13" s="49" customFormat="1" ht="14.25" customHeight="1">
      <c r="A218" s="29">
        <v>5503</v>
      </c>
      <c r="B218" s="30" t="s">
        <v>108</v>
      </c>
      <c r="C218" s="125">
        <v>0</v>
      </c>
      <c r="D218" s="131">
        <f>SUM(D219:D222)</f>
        <v>0</v>
      </c>
      <c r="E218" s="131">
        <f t="shared" si="87"/>
        <v>0</v>
      </c>
      <c r="F218" s="131">
        <f>+SUM(F219:F222)</f>
        <v>0</v>
      </c>
      <c r="G218" s="131">
        <f t="shared" si="87"/>
        <v>0</v>
      </c>
      <c r="H218" s="131">
        <f>SUM(H219:H222)</f>
        <v>0</v>
      </c>
      <c r="I218" s="131">
        <f t="shared" si="87"/>
        <v>0</v>
      </c>
      <c r="J218" s="131">
        <f>SUM(J219:J222)</f>
        <v>0</v>
      </c>
      <c r="K218" s="131">
        <f t="shared" si="87"/>
        <v>0</v>
      </c>
      <c r="L218" s="131">
        <f>SUM(L219:L222)</f>
        <v>0</v>
      </c>
      <c r="M218" s="253">
        <f t="shared" si="87"/>
        <v>0</v>
      </c>
    </row>
    <row r="219" spans="1:13" ht="14.25" customHeight="1">
      <c r="A219" s="34">
        <v>550306</v>
      </c>
      <c r="B219" s="35" t="s">
        <v>109</v>
      </c>
      <c r="C219" s="129">
        <v>0</v>
      </c>
      <c r="D219" s="127">
        <v>0</v>
      </c>
      <c r="E219" s="127">
        <v>0</v>
      </c>
      <c r="F219" s="127">
        <v>0</v>
      </c>
      <c r="G219" s="127">
        <v>0</v>
      </c>
      <c r="H219" s="127">
        <v>0</v>
      </c>
      <c r="I219" s="127">
        <v>0</v>
      </c>
      <c r="J219" s="127">
        <v>0</v>
      </c>
      <c r="K219" s="127">
        <v>0</v>
      </c>
      <c r="L219" s="127">
        <f>D219+F219+H219+J219</f>
        <v>0</v>
      </c>
      <c r="M219" s="251">
        <v>0</v>
      </c>
    </row>
    <row r="220" spans="1:13" ht="14.25" customHeight="1">
      <c r="A220" s="34">
        <v>555009</v>
      </c>
      <c r="B220" s="35" t="s">
        <v>186</v>
      </c>
      <c r="C220" s="129">
        <v>0</v>
      </c>
      <c r="D220" s="127">
        <v>0</v>
      </c>
      <c r="E220" s="127">
        <v>0</v>
      </c>
      <c r="F220" s="127">
        <v>0</v>
      </c>
      <c r="G220" s="127">
        <v>0</v>
      </c>
      <c r="H220" s="127">
        <v>0</v>
      </c>
      <c r="I220" s="127"/>
      <c r="J220" s="127">
        <v>0</v>
      </c>
      <c r="K220" s="127"/>
      <c r="L220" s="127">
        <f>D220+F220+H220+J220</f>
        <v>0</v>
      </c>
      <c r="M220" s="251"/>
    </row>
    <row r="221" spans="1:13" ht="14.25" customHeight="1">
      <c r="A221" s="34">
        <v>555010</v>
      </c>
      <c r="B221" s="35" t="s">
        <v>187</v>
      </c>
      <c r="C221" s="129">
        <v>0</v>
      </c>
      <c r="D221" s="127">
        <v>0</v>
      </c>
      <c r="E221" s="127">
        <v>0</v>
      </c>
      <c r="F221" s="127">
        <v>0</v>
      </c>
      <c r="G221" s="127">
        <v>0</v>
      </c>
      <c r="H221" s="127">
        <v>0</v>
      </c>
      <c r="I221" s="127"/>
      <c r="J221" s="127">
        <v>0</v>
      </c>
      <c r="K221" s="127"/>
      <c r="L221" s="127">
        <f>D221+F221+H221+J221</f>
        <v>0</v>
      </c>
      <c r="M221" s="251"/>
    </row>
    <row r="222" spans="1:13" ht="14.25" customHeight="1">
      <c r="A222" s="34">
        <v>555011</v>
      </c>
      <c r="B222" s="35" t="s">
        <v>188</v>
      </c>
      <c r="C222" s="129">
        <v>0</v>
      </c>
      <c r="D222" s="127">
        <v>0</v>
      </c>
      <c r="E222" s="127">
        <v>0</v>
      </c>
      <c r="F222" s="127">
        <v>0</v>
      </c>
      <c r="G222" s="127">
        <v>0</v>
      </c>
      <c r="H222" s="127">
        <v>0</v>
      </c>
      <c r="I222" s="127"/>
      <c r="J222" s="127">
        <v>0</v>
      </c>
      <c r="K222" s="127"/>
      <c r="L222" s="127">
        <f>D222+F222+H222+J222</f>
        <v>0</v>
      </c>
      <c r="M222" s="251"/>
    </row>
    <row r="223" spans="1:13" ht="14.25" customHeight="1">
      <c r="A223" s="27">
        <v>58</v>
      </c>
      <c r="B223" s="28" t="s">
        <v>283</v>
      </c>
      <c r="C223" s="131">
        <f>C224+C226</f>
        <v>0</v>
      </c>
      <c r="D223" s="131">
        <f t="shared" ref="D223:M223" si="88">D224+D226</f>
        <v>0</v>
      </c>
      <c r="E223" s="131">
        <f t="shared" si="88"/>
        <v>0</v>
      </c>
      <c r="F223" s="131">
        <f t="shared" si="88"/>
        <v>15969991</v>
      </c>
      <c r="G223" s="131">
        <f t="shared" si="88"/>
        <v>0</v>
      </c>
      <c r="H223" s="131">
        <f t="shared" si="88"/>
        <v>0</v>
      </c>
      <c r="I223" s="131">
        <f t="shared" si="88"/>
        <v>0</v>
      </c>
      <c r="J223" s="131">
        <f t="shared" si="88"/>
        <v>0</v>
      </c>
      <c r="K223" s="131">
        <f t="shared" si="88"/>
        <v>0</v>
      </c>
      <c r="L223" s="131">
        <f t="shared" si="88"/>
        <v>15969991</v>
      </c>
      <c r="M223" s="131">
        <f t="shared" si="88"/>
        <v>0</v>
      </c>
    </row>
    <row r="224" spans="1:13" ht="14.25" customHeight="1">
      <c r="A224" s="171">
        <v>5808</v>
      </c>
      <c r="B224" s="506" t="s">
        <v>69</v>
      </c>
      <c r="C224" s="174">
        <f>+C225</f>
        <v>0</v>
      </c>
      <c r="D224" s="131">
        <f>+D225</f>
        <v>0</v>
      </c>
      <c r="E224" s="131">
        <f t="shared" ref="E224:M224" si="89">+E225</f>
        <v>0</v>
      </c>
      <c r="F224" s="131">
        <f t="shared" si="89"/>
        <v>0</v>
      </c>
      <c r="G224" s="131">
        <f t="shared" si="89"/>
        <v>0</v>
      </c>
      <c r="H224" s="131">
        <f t="shared" si="89"/>
        <v>0</v>
      </c>
      <c r="I224" s="131">
        <f t="shared" si="89"/>
        <v>0</v>
      </c>
      <c r="J224" s="131">
        <f t="shared" si="89"/>
        <v>0</v>
      </c>
      <c r="K224" s="131">
        <f t="shared" si="89"/>
        <v>0</v>
      </c>
      <c r="L224" s="131">
        <f t="shared" si="89"/>
        <v>0</v>
      </c>
      <c r="M224" s="258">
        <f t="shared" si="89"/>
        <v>0</v>
      </c>
    </row>
    <row r="225" spans="1:52" ht="14.25" customHeight="1">
      <c r="A225" s="508">
        <v>580490</v>
      </c>
      <c r="B225" s="507" t="s">
        <v>328</v>
      </c>
      <c r="C225" s="129">
        <v>0</v>
      </c>
      <c r="D225" s="128">
        <v>0</v>
      </c>
      <c r="E225" s="128">
        <v>0</v>
      </c>
      <c r="F225" s="128">
        <v>0</v>
      </c>
      <c r="G225" s="128">
        <v>0</v>
      </c>
      <c r="H225" s="127">
        <v>0</v>
      </c>
      <c r="I225" s="128">
        <v>0</v>
      </c>
      <c r="J225" s="124">
        <v>0</v>
      </c>
      <c r="K225" s="128">
        <v>0</v>
      </c>
      <c r="L225" s="127">
        <f>D225+F225+H225+J225</f>
        <v>0</v>
      </c>
      <c r="M225" s="252">
        <v>0</v>
      </c>
    </row>
    <row r="226" spans="1:52" ht="14.25" customHeight="1">
      <c r="A226" s="171">
        <v>5890</v>
      </c>
      <c r="B226" s="172" t="s">
        <v>284</v>
      </c>
      <c r="C226" s="174">
        <f>+C227+C228</f>
        <v>0</v>
      </c>
      <c r="D226" s="174">
        <f t="shared" ref="D226:M226" si="90">+D227+D228</f>
        <v>0</v>
      </c>
      <c r="E226" s="174">
        <f t="shared" si="90"/>
        <v>0</v>
      </c>
      <c r="F226" s="174">
        <f t="shared" si="90"/>
        <v>15969991</v>
      </c>
      <c r="G226" s="174">
        <f t="shared" si="90"/>
        <v>0</v>
      </c>
      <c r="H226" s="174">
        <f t="shared" si="90"/>
        <v>0</v>
      </c>
      <c r="I226" s="174">
        <f t="shared" si="90"/>
        <v>0</v>
      </c>
      <c r="J226" s="174">
        <f t="shared" si="90"/>
        <v>0</v>
      </c>
      <c r="K226" s="174">
        <f t="shared" si="90"/>
        <v>0</v>
      </c>
      <c r="L226" s="174">
        <f t="shared" si="90"/>
        <v>15969991</v>
      </c>
      <c r="M226" s="174">
        <f t="shared" si="90"/>
        <v>0</v>
      </c>
    </row>
    <row r="227" spans="1:52" ht="14.25" customHeight="1">
      <c r="A227" s="508">
        <v>589012</v>
      </c>
      <c r="B227" s="87" t="s">
        <v>335</v>
      </c>
      <c r="C227" s="129">
        <v>0</v>
      </c>
      <c r="D227" s="124">
        <v>0</v>
      </c>
      <c r="E227" s="128">
        <v>0</v>
      </c>
      <c r="F227" s="128">
        <v>15969991</v>
      </c>
      <c r="G227" s="128">
        <v>0</v>
      </c>
      <c r="H227" s="127">
        <v>0</v>
      </c>
      <c r="I227" s="128">
        <v>0</v>
      </c>
      <c r="J227" s="513">
        <v>0</v>
      </c>
      <c r="K227" s="515">
        <v>0</v>
      </c>
      <c r="L227" s="127">
        <f>D227+F227+H227+J227</f>
        <v>15969991</v>
      </c>
      <c r="M227" s="252">
        <v>0</v>
      </c>
    </row>
    <row r="228" spans="1:52" ht="14.25" customHeight="1">
      <c r="A228" s="31">
        <v>589025</v>
      </c>
      <c r="B228" s="32" t="s">
        <v>285</v>
      </c>
      <c r="C228" s="129">
        <v>0</v>
      </c>
      <c r="D228" s="124">
        <v>0</v>
      </c>
      <c r="E228" s="128">
        <v>0</v>
      </c>
      <c r="F228" s="128">
        <v>0</v>
      </c>
      <c r="G228" s="128">
        <v>0</v>
      </c>
      <c r="H228" s="127">
        <v>0</v>
      </c>
      <c r="I228" s="128">
        <v>0</v>
      </c>
      <c r="J228" s="513">
        <v>0</v>
      </c>
      <c r="K228" s="515">
        <v>0</v>
      </c>
      <c r="L228" s="127">
        <f>D228+F228+H228+J228</f>
        <v>0</v>
      </c>
      <c r="M228" s="252">
        <v>0</v>
      </c>
    </row>
    <row r="229" spans="1:52" s="48" customFormat="1" ht="13.5">
      <c r="A229" s="27">
        <v>59</v>
      </c>
      <c r="B229" s="28" t="s">
        <v>279</v>
      </c>
      <c r="C229" s="131">
        <f>+C230</f>
        <v>0</v>
      </c>
      <c r="D229" s="131">
        <f>+D230</f>
        <v>0</v>
      </c>
      <c r="E229" s="131">
        <f t="shared" ref="E229:M229" si="91">+E230</f>
        <v>0</v>
      </c>
      <c r="F229" s="126">
        <f t="shared" si="91"/>
        <v>0</v>
      </c>
      <c r="G229" s="131">
        <f t="shared" si="91"/>
        <v>0</v>
      </c>
      <c r="H229" s="126">
        <f>+H230+H232</f>
        <v>0</v>
      </c>
      <c r="I229" s="131">
        <f t="shared" si="91"/>
        <v>0</v>
      </c>
      <c r="J229" s="514">
        <f>+J230</f>
        <v>0</v>
      </c>
      <c r="K229" s="516">
        <f t="shared" si="91"/>
        <v>0</v>
      </c>
      <c r="L229" s="126">
        <f>+L230</f>
        <v>0</v>
      </c>
      <c r="M229" s="253">
        <f t="shared" si="91"/>
        <v>0</v>
      </c>
    </row>
    <row r="230" spans="1:52" s="49" customFormat="1" ht="13.5">
      <c r="A230" s="171">
        <v>5905</v>
      </c>
      <c r="B230" s="172" t="s">
        <v>279</v>
      </c>
      <c r="C230" s="174">
        <f>+C231</f>
        <v>0</v>
      </c>
      <c r="D230" s="131">
        <f>+D231</f>
        <v>0</v>
      </c>
      <c r="E230" s="131">
        <f t="shared" ref="E230:M230" si="92">+E231</f>
        <v>0</v>
      </c>
      <c r="F230" s="131">
        <f t="shared" si="92"/>
        <v>0</v>
      </c>
      <c r="G230" s="131">
        <f t="shared" si="92"/>
        <v>0</v>
      </c>
      <c r="H230" s="131">
        <f t="shared" si="92"/>
        <v>0</v>
      </c>
      <c r="I230" s="131">
        <f t="shared" si="92"/>
        <v>0</v>
      </c>
      <c r="J230" s="516">
        <f t="shared" si="92"/>
        <v>0</v>
      </c>
      <c r="K230" s="516">
        <f t="shared" si="92"/>
        <v>0</v>
      </c>
      <c r="L230" s="131">
        <f t="shared" si="92"/>
        <v>0</v>
      </c>
      <c r="M230" s="258">
        <f t="shared" si="92"/>
        <v>0</v>
      </c>
    </row>
    <row r="231" spans="1:52" s="49" customFormat="1" ht="14.25" customHeight="1">
      <c r="A231" s="29">
        <v>590501</v>
      </c>
      <c r="B231" s="32" t="s">
        <v>279</v>
      </c>
      <c r="C231" s="125">
        <v>0</v>
      </c>
      <c r="D231" s="131">
        <v>0</v>
      </c>
      <c r="E231" s="131">
        <v>0</v>
      </c>
      <c r="F231" s="131">
        <v>0</v>
      </c>
      <c r="G231" s="131">
        <v>0</v>
      </c>
      <c r="H231" s="127">
        <f>D231+F231</f>
        <v>0</v>
      </c>
      <c r="I231" s="131">
        <v>0</v>
      </c>
      <c r="J231" s="513">
        <v>0</v>
      </c>
      <c r="K231" s="516">
        <v>0</v>
      </c>
      <c r="L231" s="127">
        <v>0</v>
      </c>
      <c r="M231" s="253">
        <v>0</v>
      </c>
    </row>
    <row r="232" spans="1:52" s="49" customFormat="1" ht="14.25" customHeight="1">
      <c r="A232" s="175">
        <v>5810</v>
      </c>
      <c r="B232" s="176" t="s">
        <v>196</v>
      </c>
      <c r="C232" s="177">
        <v>0</v>
      </c>
      <c r="D232" s="131">
        <v>0</v>
      </c>
      <c r="E232" s="131">
        <v>0</v>
      </c>
      <c r="F232" s="131">
        <v>0</v>
      </c>
      <c r="G232" s="131">
        <v>0</v>
      </c>
      <c r="H232" s="131">
        <f>H233</f>
        <v>0</v>
      </c>
      <c r="I232" s="131"/>
      <c r="J232" s="516">
        <f>J233</f>
        <v>0</v>
      </c>
      <c r="K232" s="516"/>
      <c r="L232" s="131">
        <f>L233</f>
        <v>0</v>
      </c>
      <c r="M232" s="259"/>
    </row>
    <row r="233" spans="1:52" s="49" customFormat="1" ht="14.25" customHeight="1">
      <c r="A233" s="34">
        <v>581010</v>
      </c>
      <c r="B233" s="87" t="s">
        <v>197</v>
      </c>
      <c r="C233" s="173">
        <v>0</v>
      </c>
      <c r="D233" s="131">
        <v>0</v>
      </c>
      <c r="E233" s="131">
        <v>0</v>
      </c>
      <c r="F233" s="131">
        <v>0</v>
      </c>
      <c r="G233" s="131">
        <v>0</v>
      </c>
      <c r="H233" s="127">
        <f>D233+F233</f>
        <v>0</v>
      </c>
      <c r="I233" s="131"/>
      <c r="J233" s="513">
        <f>F233+H233</f>
        <v>0</v>
      </c>
      <c r="K233" s="516"/>
      <c r="L233" s="127">
        <f>F233+H233</f>
        <v>0</v>
      </c>
      <c r="M233" s="258"/>
    </row>
    <row r="234" spans="1:52" s="69" customFormat="1" ht="14.25" customHeight="1">
      <c r="A234" s="34"/>
      <c r="B234" s="183" t="s">
        <v>143</v>
      </c>
      <c r="C234" s="184">
        <f>C8-C61-C121</f>
        <v>0</v>
      </c>
      <c r="D234" s="231">
        <f t="shared" ref="D234:L234" si="93">+D8+D61+D121+D132+D146</f>
        <v>1177063917.1199999</v>
      </c>
      <c r="E234" s="231">
        <f t="shared" si="93"/>
        <v>1177063916.8</v>
      </c>
      <c r="F234" s="231">
        <f t="shared" si="93"/>
        <v>1265241367</v>
      </c>
      <c r="G234" s="231">
        <f t="shared" si="93"/>
        <v>1265241367</v>
      </c>
      <c r="H234" s="231">
        <f t="shared" si="93"/>
        <v>0</v>
      </c>
      <c r="I234" s="231">
        <f t="shared" si="93"/>
        <v>0</v>
      </c>
      <c r="J234" s="231">
        <f t="shared" si="93"/>
        <v>0</v>
      </c>
      <c r="K234" s="231">
        <f t="shared" si="93"/>
        <v>0</v>
      </c>
      <c r="L234" s="231">
        <f t="shared" si="93"/>
        <v>11880080030.391111</v>
      </c>
      <c r="M234" s="232">
        <f>+M8+M61+M121+M132+M146</f>
        <v>11880080030.071112</v>
      </c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</row>
    <row r="235" spans="1:52">
      <c r="A235" s="45"/>
      <c r="C235" s="51"/>
      <c r="D235" s="36">
        <f>+D234-E234</f>
        <v>0.31999993324279785</v>
      </c>
      <c r="E235" s="26"/>
      <c r="F235" s="26"/>
      <c r="G235" s="26">
        <f>+F234-G234</f>
        <v>0</v>
      </c>
      <c r="H235" s="26"/>
      <c r="I235" s="26">
        <f>+H234-I234</f>
        <v>0</v>
      </c>
      <c r="J235" s="517"/>
      <c r="K235" s="26">
        <f>+J234-K234</f>
        <v>0</v>
      </c>
      <c r="L235" s="52"/>
      <c r="M235" s="260">
        <f>+L234-M234</f>
        <v>0.31999969482421875</v>
      </c>
    </row>
    <row r="236" spans="1:52">
      <c r="A236" s="45"/>
      <c r="C236" s="51"/>
      <c r="D236" s="36"/>
      <c r="E236" s="26"/>
      <c r="F236" s="26"/>
      <c r="H236" s="26"/>
      <c r="I236" s="26"/>
      <c r="J236" s="518"/>
      <c r="K236" s="518"/>
      <c r="L236" s="52"/>
      <c r="M236" s="260"/>
    </row>
    <row r="237" spans="1:52">
      <c r="A237" s="45"/>
      <c r="C237" s="51"/>
      <c r="D237" s="36"/>
      <c r="E237" s="26"/>
      <c r="F237" s="26"/>
      <c r="H237" s="26"/>
      <c r="I237" s="26"/>
      <c r="J237" s="518"/>
      <c r="K237" s="518"/>
      <c r="L237" s="52"/>
      <c r="M237" s="260"/>
    </row>
    <row r="238" spans="1:52">
      <c r="A238" s="53"/>
      <c r="C238" s="51"/>
      <c r="D238" s="26"/>
      <c r="E238" s="26"/>
      <c r="F238" s="26"/>
      <c r="H238" s="26"/>
      <c r="J238" s="519"/>
      <c r="K238" s="518"/>
      <c r="L238" s="54"/>
      <c r="M238" s="261"/>
    </row>
    <row r="239" spans="1:52">
      <c r="A239" s="55"/>
      <c r="C239" s="51"/>
      <c r="D239" s="36"/>
      <c r="E239" s="26"/>
      <c r="F239" s="26"/>
      <c r="G239" s="26"/>
      <c r="H239" s="52"/>
      <c r="I239" s="26"/>
      <c r="J239" s="518"/>
      <c r="L239" s="52"/>
      <c r="M239" s="261"/>
    </row>
    <row r="240" spans="1:52" s="65" customFormat="1" ht="15.75" customHeight="1">
      <c r="A240" s="63"/>
      <c r="B240" s="182" t="s">
        <v>257</v>
      </c>
      <c r="C240" s="64"/>
      <c r="F240" s="182" t="s">
        <v>333</v>
      </c>
      <c r="I240" s="18"/>
      <c r="J240" s="521"/>
      <c r="K240" s="182" t="s">
        <v>224</v>
      </c>
      <c r="L240" s="54"/>
      <c r="M240" s="261"/>
    </row>
    <row r="241" spans="1:13" s="65" customFormat="1">
      <c r="A241" s="63"/>
      <c r="B241" s="182" t="s">
        <v>147</v>
      </c>
      <c r="C241" s="64"/>
      <c r="F241" s="182" t="s">
        <v>346</v>
      </c>
      <c r="I241" s="265"/>
      <c r="K241" s="182" t="s">
        <v>221</v>
      </c>
      <c r="L241" s="54"/>
      <c r="M241" s="261"/>
    </row>
    <row r="242" spans="1:13" s="65" customFormat="1">
      <c r="A242" s="63"/>
      <c r="B242" s="182" t="s">
        <v>258</v>
      </c>
      <c r="C242" s="64"/>
      <c r="F242" s="182" t="s">
        <v>61</v>
      </c>
      <c r="I242" s="265"/>
      <c r="K242" s="182" t="s">
        <v>222</v>
      </c>
      <c r="L242" s="54"/>
      <c r="M242" s="261"/>
    </row>
    <row r="243" spans="1:13">
      <c r="A243" s="45"/>
      <c r="C243" s="56"/>
      <c r="D243" s="16"/>
      <c r="I243" s="16"/>
      <c r="M243" s="261"/>
    </row>
    <row r="244" spans="1:13">
      <c r="A244" s="45"/>
      <c r="C244" s="57"/>
      <c r="D244" s="58"/>
      <c r="H244" s="58"/>
      <c r="I244" s="58"/>
      <c r="M244" s="261"/>
    </row>
    <row r="245" spans="1:13">
      <c r="A245" s="570" t="s">
        <v>205</v>
      </c>
      <c r="B245" s="571"/>
      <c r="C245" s="56"/>
      <c r="D245" s="16"/>
      <c r="H245" s="16"/>
      <c r="I245" s="16"/>
      <c r="M245" s="261"/>
    </row>
    <row r="246" spans="1:13" ht="15" thickBot="1">
      <c r="A246" s="572"/>
      <c r="B246" s="573"/>
      <c r="C246" s="59"/>
      <c r="D246" s="47"/>
      <c r="E246" s="47"/>
      <c r="F246" s="47"/>
      <c r="G246" s="47"/>
      <c r="H246" s="47"/>
      <c r="I246" s="47"/>
      <c r="J246" s="522"/>
      <c r="K246" s="523"/>
      <c r="L246" s="60"/>
      <c r="M246" s="262"/>
    </row>
    <row r="249" spans="1:13">
      <c r="C249" s="51"/>
      <c r="H249" s="3"/>
      <c r="I249" s="3"/>
      <c r="J249" s="518"/>
      <c r="K249" s="518"/>
    </row>
    <row r="250" spans="1:13">
      <c r="B250" s="43"/>
      <c r="C250" s="61"/>
      <c r="G250" s="192"/>
      <c r="H250" s="3"/>
      <c r="I250" s="3"/>
      <c r="J250" s="518"/>
      <c r="K250" s="518"/>
    </row>
    <row r="251" spans="1:13">
      <c r="B251" s="43"/>
      <c r="C251" s="61"/>
      <c r="G251" s="192"/>
      <c r="H251" s="3"/>
      <c r="I251" s="3"/>
    </row>
    <row r="252" spans="1:13">
      <c r="B252" s="43"/>
      <c r="C252" s="61"/>
      <c r="D252" s="43"/>
      <c r="G252" s="192"/>
      <c r="H252" s="3"/>
      <c r="I252" s="3"/>
    </row>
    <row r="253" spans="1:13">
      <c r="B253" s="18"/>
      <c r="C253" s="62"/>
      <c r="D253" s="43"/>
      <c r="G253" s="192"/>
      <c r="H253" s="3"/>
      <c r="I253" s="3"/>
      <c r="K253" s="518"/>
    </row>
    <row r="254" spans="1:13">
      <c r="B254" s="18"/>
      <c r="C254" s="61"/>
      <c r="D254" s="43"/>
      <c r="G254" s="192"/>
      <c r="H254" s="3"/>
      <c r="I254" s="3"/>
    </row>
    <row r="255" spans="1:13">
      <c r="C255" s="51"/>
      <c r="D255" s="3"/>
      <c r="E255" s="3"/>
      <c r="F255" s="191"/>
      <c r="G255" s="193"/>
      <c r="H255" s="3"/>
      <c r="I255" s="3"/>
    </row>
    <row r="256" spans="1:13" ht="15.75">
      <c r="A256" s="3"/>
      <c r="C256" s="51"/>
      <c r="D256" s="3"/>
      <c r="E256" s="3"/>
      <c r="F256" s="191"/>
      <c r="G256" s="194"/>
      <c r="H256" s="3"/>
      <c r="I256" s="3"/>
    </row>
    <row r="257" spans="1:9" ht="15.75">
      <c r="D257" s="3"/>
      <c r="E257" s="3"/>
      <c r="F257" s="191"/>
      <c r="G257" s="194"/>
      <c r="H257" s="3"/>
      <c r="I257" s="3"/>
    </row>
    <row r="258" spans="1:9" ht="15.75">
      <c r="D258" s="3"/>
      <c r="E258" s="3"/>
      <c r="F258" s="191"/>
      <c r="G258" s="194"/>
      <c r="H258" s="3"/>
      <c r="I258" s="3"/>
    </row>
    <row r="259" spans="1:9" ht="15.75">
      <c r="D259" s="3"/>
      <c r="E259" s="3"/>
      <c r="F259" s="191"/>
      <c r="G259" s="194"/>
      <c r="H259" s="3"/>
      <c r="I259" s="3"/>
    </row>
    <row r="260" spans="1:9" ht="15.75">
      <c r="D260" s="3"/>
      <c r="E260" s="3"/>
      <c r="F260" s="191"/>
      <c r="G260" s="194"/>
      <c r="H260" s="3"/>
      <c r="I260" s="3"/>
    </row>
    <row r="261" spans="1:9" ht="15.75">
      <c r="D261" s="3"/>
      <c r="E261" s="3"/>
      <c r="F261" s="194"/>
      <c r="G261" s="191"/>
      <c r="H261" s="3"/>
      <c r="I261" s="3"/>
    </row>
    <row r="262" spans="1:9" ht="15.75">
      <c r="D262" s="3"/>
      <c r="E262" s="3"/>
      <c r="F262" s="194"/>
      <c r="G262" s="191"/>
      <c r="H262" s="3"/>
      <c r="I262" s="3"/>
    </row>
    <row r="263" spans="1:9" ht="15.75">
      <c r="D263" s="3"/>
      <c r="E263" s="3"/>
      <c r="F263" s="194"/>
      <c r="G263" s="191"/>
      <c r="H263" s="3"/>
      <c r="I263" s="3"/>
    </row>
    <row r="264" spans="1:9" ht="15.75">
      <c r="D264" s="3"/>
      <c r="E264" s="3"/>
      <c r="F264" s="194"/>
      <c r="G264" s="191"/>
      <c r="H264" s="3"/>
      <c r="I264" s="3"/>
    </row>
    <row r="265" spans="1:9" ht="15.75">
      <c r="A265" s="3"/>
      <c r="B265" s="3"/>
      <c r="C265" s="3"/>
      <c r="D265" s="3"/>
      <c r="E265" s="3"/>
      <c r="F265" s="194"/>
      <c r="G265" s="191"/>
      <c r="H265" s="3"/>
      <c r="I265" s="3"/>
    </row>
    <row r="266" spans="1:9" ht="15.75">
      <c r="A266" s="3"/>
      <c r="B266" s="3"/>
      <c r="C266" s="3"/>
      <c r="D266" s="3"/>
      <c r="E266" s="3"/>
      <c r="F266" s="194"/>
      <c r="G266" s="191"/>
      <c r="H266" s="3"/>
      <c r="I266" s="3"/>
    </row>
  </sheetData>
  <sortState xmlns:xlrd2="http://schemas.microsoft.com/office/spreadsheetml/2017/richdata2" ref="A102:M112">
    <sortCondition ref="A101"/>
  </sortState>
  <mergeCells count="15">
    <mergeCell ref="A245:B245"/>
    <mergeCell ref="A246:B246"/>
    <mergeCell ref="H6:I6"/>
    <mergeCell ref="L6:M6"/>
    <mergeCell ref="A1:M1"/>
    <mergeCell ref="A2:M2"/>
    <mergeCell ref="A3:M3"/>
    <mergeCell ref="A4:M4"/>
    <mergeCell ref="A5:M5"/>
    <mergeCell ref="A6:A7"/>
    <mergeCell ref="B6:B7"/>
    <mergeCell ref="C6:C7"/>
    <mergeCell ref="D6:E6"/>
    <mergeCell ref="F6:G6"/>
    <mergeCell ref="J6:K6"/>
  </mergeCells>
  <pageMargins left="0.75" right="0.75" top="0.25" bottom="0.25" header="0.31496062992126" footer="0.31496062992126"/>
  <pageSetup paperSize="9" scale="60" orientation="landscape" r:id="rId1"/>
  <headerFooter>
    <oddFooter>&amp;L&amp;A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6"/>
  <sheetViews>
    <sheetView view="pageBreakPreview" topLeftCell="A88" zoomScale="80" zoomScaleNormal="100" zoomScaleSheetLayoutView="80" workbookViewId="0">
      <selection activeCell="B1" sqref="B1:D1"/>
    </sheetView>
  </sheetViews>
  <sheetFormatPr baseColWidth="10" defaultColWidth="11.42578125" defaultRowHeight="13.5"/>
  <cols>
    <col min="1" max="1" width="9.5703125" style="1" customWidth="1"/>
    <col min="2" max="2" width="11.5703125" style="1" customWidth="1"/>
    <col min="3" max="3" width="50.5703125" style="1" customWidth="1"/>
    <col min="4" max="4" width="40.28515625" style="1" customWidth="1"/>
    <col min="5" max="5" width="9.140625" style="1" customWidth="1"/>
    <col min="6" max="6" width="33.5703125" style="7" customWidth="1"/>
    <col min="7" max="7" width="11.42578125" style="1"/>
    <col min="8" max="8" width="13.85546875" style="1" customWidth="1"/>
    <col min="9" max="16384" width="11.42578125" style="1"/>
  </cols>
  <sheetData>
    <row r="1" spans="1:9" ht="15.75">
      <c r="A1" s="240"/>
      <c r="B1" s="601" t="s">
        <v>0</v>
      </c>
      <c r="C1" s="602"/>
      <c r="D1" s="603"/>
      <c r="E1" s="241"/>
      <c r="F1" s="77"/>
      <c r="G1" s="4"/>
    </row>
    <row r="2" spans="1:9" ht="15.75">
      <c r="A2" s="6"/>
      <c r="B2" s="604" t="s">
        <v>183</v>
      </c>
      <c r="C2" s="605"/>
      <c r="D2" s="606"/>
      <c r="E2" s="143"/>
      <c r="F2" s="77"/>
      <c r="G2" s="4"/>
    </row>
    <row r="3" spans="1:9" ht="15.75">
      <c r="A3" s="6"/>
      <c r="B3" s="604" t="s">
        <v>248</v>
      </c>
      <c r="C3" s="605"/>
      <c r="D3" s="606"/>
      <c r="E3" s="143"/>
      <c r="F3" s="77"/>
      <c r="G3" s="4"/>
    </row>
    <row r="4" spans="1:9" s="70" customFormat="1" ht="15.75">
      <c r="A4" s="6"/>
      <c r="B4" s="607" t="s">
        <v>338</v>
      </c>
      <c r="C4" s="608"/>
      <c r="D4" s="609"/>
      <c r="E4" s="143"/>
      <c r="F4" s="77"/>
      <c r="G4" s="4"/>
      <c r="H4" s="1"/>
      <c r="I4" s="1"/>
    </row>
    <row r="5" spans="1:9">
      <c r="A5" s="6"/>
      <c r="E5" s="8"/>
    </row>
    <row r="6" spans="1:9" s="71" customFormat="1" ht="15.75">
      <c r="A6" s="6"/>
      <c r="B6" s="149">
        <v>4</v>
      </c>
      <c r="C6" s="150" t="s">
        <v>62</v>
      </c>
      <c r="D6" s="151">
        <f>D7</f>
        <v>40090555</v>
      </c>
      <c r="E6" s="8"/>
      <c r="F6" s="7"/>
      <c r="G6" s="1"/>
      <c r="H6" s="1"/>
      <c r="I6" s="1"/>
    </row>
    <row r="7" spans="1:9" ht="15">
      <c r="A7" s="6"/>
      <c r="B7" s="610" t="s">
        <v>63</v>
      </c>
      <c r="C7" s="611"/>
      <c r="D7" s="233">
        <f>D9+D12+D22</f>
        <v>40090555</v>
      </c>
      <c r="E7" s="144"/>
    </row>
    <row r="8" spans="1:9">
      <c r="A8" s="6"/>
      <c r="B8" s="152"/>
      <c r="C8" s="23"/>
      <c r="D8" s="234"/>
      <c r="E8" s="8"/>
    </row>
    <row r="9" spans="1:9">
      <c r="A9" s="6"/>
      <c r="B9" s="287">
        <v>41</v>
      </c>
      <c r="C9" s="288" t="s">
        <v>317</v>
      </c>
      <c r="D9" s="286">
        <f>+D10</f>
        <v>0</v>
      </c>
      <c r="E9" s="8"/>
    </row>
    <row r="10" spans="1:9">
      <c r="A10" s="6"/>
      <c r="B10" s="284">
        <v>4195</v>
      </c>
      <c r="C10" s="289" t="s">
        <v>315</v>
      </c>
      <c r="D10" s="286">
        <f>+D11</f>
        <v>0</v>
      </c>
      <c r="E10" s="8"/>
    </row>
    <row r="11" spans="1:9">
      <c r="A11" s="6"/>
      <c r="B11" s="285">
        <v>419502</v>
      </c>
      <c r="C11" s="290" t="s">
        <v>318</v>
      </c>
      <c r="D11" s="234">
        <f>+'MAYOR Y BALANCE'!M135</f>
        <v>0</v>
      </c>
      <c r="E11" s="8"/>
    </row>
    <row r="12" spans="1:9">
      <c r="A12" s="6"/>
      <c r="B12" s="153">
        <v>44</v>
      </c>
      <c r="C12" s="15" t="s">
        <v>64</v>
      </c>
      <c r="D12" s="157">
        <f>+D13</f>
        <v>0</v>
      </c>
      <c r="E12" s="8"/>
      <c r="F12" s="78"/>
      <c r="G12" s="11"/>
      <c r="H12" s="13"/>
    </row>
    <row r="13" spans="1:9">
      <c r="A13" s="6"/>
      <c r="B13" s="154">
        <v>4428</v>
      </c>
      <c r="C13" s="11" t="s">
        <v>65</v>
      </c>
      <c r="D13" s="157">
        <f>+D14+D21</f>
        <v>0</v>
      </c>
      <c r="E13" s="8"/>
      <c r="F13" s="79"/>
      <c r="G13" s="14"/>
      <c r="H13" s="24"/>
    </row>
    <row r="14" spans="1:9" s="86" customFormat="1">
      <c r="A14" s="138"/>
      <c r="B14" s="154">
        <v>442802</v>
      </c>
      <c r="C14" s="12" t="s">
        <v>66</v>
      </c>
      <c r="D14" s="157">
        <f>'MAYOR Y BALANCE'!M138</f>
        <v>0</v>
      </c>
      <c r="E14" s="145"/>
      <c r="F14" s="83"/>
      <c r="G14" s="84"/>
      <c r="H14" s="85"/>
    </row>
    <row r="15" spans="1:9" hidden="1">
      <c r="A15" s="6"/>
      <c r="B15" s="155"/>
      <c r="C15" s="12" t="s">
        <v>170</v>
      </c>
      <c r="D15" s="156">
        <v>1454735965</v>
      </c>
      <c r="E15" s="146"/>
      <c r="F15" s="80"/>
      <c r="G15" s="17"/>
      <c r="H15" s="25"/>
    </row>
    <row r="16" spans="1:9" hidden="1">
      <c r="A16" s="6"/>
      <c r="B16" s="155"/>
      <c r="C16" s="12" t="s">
        <v>171</v>
      </c>
      <c r="D16" s="156">
        <v>767379831</v>
      </c>
      <c r="E16" s="146"/>
      <c r="F16" s="80"/>
      <c r="G16" s="17"/>
      <c r="H16" s="25"/>
    </row>
    <row r="17" spans="1:8" hidden="1">
      <c r="A17" s="6"/>
      <c r="B17" s="155"/>
      <c r="C17" s="12" t="s">
        <v>172</v>
      </c>
      <c r="D17" s="156">
        <v>565006451</v>
      </c>
      <c r="E17" s="139"/>
      <c r="F17" s="80"/>
      <c r="G17" s="17"/>
      <c r="H17" s="25"/>
    </row>
    <row r="18" spans="1:8" hidden="1">
      <c r="A18" s="6"/>
      <c r="B18" s="155"/>
      <c r="C18" s="12" t="s">
        <v>173</v>
      </c>
      <c r="D18" s="156">
        <v>1770962296</v>
      </c>
      <c r="E18" s="146"/>
      <c r="F18" s="80"/>
      <c r="G18" s="17"/>
      <c r="H18" s="25"/>
    </row>
    <row r="19" spans="1:8" hidden="1">
      <c r="A19" s="6"/>
      <c r="B19" s="155"/>
      <c r="C19" s="12" t="s">
        <v>175</v>
      </c>
      <c r="D19" s="156">
        <v>0</v>
      </c>
      <c r="E19" s="146"/>
      <c r="F19" s="80"/>
      <c r="G19" s="17"/>
      <c r="H19" s="25"/>
    </row>
    <row r="20" spans="1:8" hidden="1">
      <c r="A20" s="6"/>
      <c r="B20" s="155"/>
      <c r="C20" s="12" t="s">
        <v>174</v>
      </c>
      <c r="D20" s="156">
        <v>0</v>
      </c>
      <c r="E20" s="146"/>
      <c r="F20" s="80"/>
      <c r="G20" s="17"/>
      <c r="H20" s="25"/>
    </row>
    <row r="21" spans="1:8" s="86" customFormat="1" ht="14.25">
      <c r="A21" s="138"/>
      <c r="B21" s="154">
        <v>442803</v>
      </c>
      <c r="C21" s="12" t="s">
        <v>67</v>
      </c>
      <c r="D21" s="158">
        <f>'MAYOR Y BALANCE'!M139</f>
        <v>0</v>
      </c>
      <c r="E21" s="140"/>
      <c r="F21" s="83"/>
      <c r="G21" s="84"/>
      <c r="H21" s="85"/>
    </row>
    <row r="22" spans="1:8" ht="14.25">
      <c r="A22" s="6"/>
      <c r="B22" s="153">
        <v>48</v>
      </c>
      <c r="C22" s="15" t="s">
        <v>68</v>
      </c>
      <c r="D22" s="157">
        <f>+D23+D25</f>
        <v>40090555</v>
      </c>
      <c r="E22" s="147"/>
      <c r="F22" s="81"/>
      <c r="G22" s="19"/>
      <c r="H22" s="26"/>
    </row>
    <row r="23" spans="1:8">
      <c r="A23" s="6"/>
      <c r="B23" s="154">
        <v>4802</v>
      </c>
      <c r="C23" s="11" t="s">
        <v>69</v>
      </c>
      <c r="D23" s="157">
        <f>+D24</f>
        <v>195</v>
      </c>
      <c r="E23" s="146"/>
      <c r="F23" s="79"/>
      <c r="G23" s="14"/>
      <c r="H23" s="24"/>
    </row>
    <row r="24" spans="1:8" ht="14.25">
      <c r="A24" s="6"/>
      <c r="B24" s="168">
        <v>480202</v>
      </c>
      <c r="C24" s="19" t="s">
        <v>70</v>
      </c>
      <c r="D24" s="158">
        <f>'MAYOR Y BALANCE'!M142</f>
        <v>195</v>
      </c>
      <c r="E24" s="8"/>
      <c r="F24" s="80"/>
      <c r="G24" s="17"/>
      <c r="H24" s="25"/>
    </row>
    <row r="25" spans="1:8" ht="14.25">
      <c r="A25" s="6"/>
      <c r="B25" s="154">
        <v>4808</v>
      </c>
      <c r="C25" s="11" t="s">
        <v>253</v>
      </c>
      <c r="D25" s="157">
        <f>+D26</f>
        <v>40090360</v>
      </c>
      <c r="E25" s="147"/>
      <c r="F25" s="81"/>
      <c r="G25" s="19"/>
      <c r="H25" s="26"/>
    </row>
    <row r="26" spans="1:8" ht="14.25">
      <c r="A26" s="6"/>
      <c r="B26" s="503">
        <v>480890</v>
      </c>
      <c r="C26" s="504" t="s">
        <v>287</v>
      </c>
      <c r="D26" s="505">
        <f>+'MAYOR Y BALANCE'!M145</f>
        <v>40090360</v>
      </c>
      <c r="E26" s="146"/>
      <c r="F26" s="80"/>
      <c r="G26" s="17"/>
    </row>
    <row r="27" spans="1:8">
      <c r="A27" s="6"/>
      <c r="B27" s="155"/>
      <c r="D27" s="235"/>
      <c r="E27" s="8"/>
      <c r="F27" s="80"/>
      <c r="G27" s="17"/>
    </row>
    <row r="28" spans="1:8" ht="15.75">
      <c r="A28" s="6"/>
      <c r="B28" s="159">
        <v>5</v>
      </c>
      <c r="C28" s="72" t="s">
        <v>72</v>
      </c>
      <c r="D28" s="160">
        <f>+D30+D83+D93+D96+D98</f>
        <v>1100933050</v>
      </c>
      <c r="E28" s="8"/>
    </row>
    <row r="29" spans="1:8">
      <c r="A29" s="6"/>
      <c r="B29" s="154"/>
      <c r="C29" s="11"/>
      <c r="D29" s="161"/>
      <c r="E29" s="8"/>
    </row>
    <row r="30" spans="1:8">
      <c r="A30" s="6"/>
      <c r="B30" s="162">
        <v>51</v>
      </c>
      <c r="C30" s="14" t="s">
        <v>73</v>
      </c>
      <c r="D30" s="163">
        <f>+D31+D36+D39+D43+D46+D53+D56+D72</f>
        <v>1084963059</v>
      </c>
      <c r="E30" s="8"/>
    </row>
    <row r="31" spans="1:8">
      <c r="A31" s="6"/>
      <c r="B31" s="164">
        <v>5101</v>
      </c>
      <c r="C31" s="17" t="s">
        <v>74</v>
      </c>
      <c r="D31" s="165">
        <f>SUM(D32:D35)</f>
        <v>333476569</v>
      </c>
      <c r="E31" s="8"/>
    </row>
    <row r="32" spans="1:8" ht="14.25">
      <c r="A32" s="6"/>
      <c r="B32" s="168">
        <v>510101</v>
      </c>
      <c r="C32" s="19" t="s">
        <v>75</v>
      </c>
      <c r="D32" s="167">
        <f>'MAYOR Y BALANCE'!L149</f>
        <v>310393097</v>
      </c>
      <c r="E32" s="195"/>
    </row>
    <row r="33" spans="1:6" ht="14.25">
      <c r="A33" s="6"/>
      <c r="B33" s="168">
        <v>510105</v>
      </c>
      <c r="C33" s="19" t="s">
        <v>76</v>
      </c>
      <c r="D33" s="167">
        <f>'MAYOR Y BALANCE'!L150</f>
        <v>11673820</v>
      </c>
      <c r="E33" s="8"/>
    </row>
    <row r="34" spans="1:6" ht="14.25">
      <c r="A34" s="6"/>
      <c r="B34" s="168">
        <v>510119</v>
      </c>
      <c r="C34" s="19" t="s">
        <v>214</v>
      </c>
      <c r="D34" s="167">
        <f>'MAYOR Y BALANCE'!L151</f>
        <v>11409652</v>
      </c>
      <c r="E34" s="8"/>
      <c r="F34" s="1"/>
    </row>
    <row r="35" spans="1:6" ht="14.25">
      <c r="A35" s="6"/>
      <c r="B35" s="168">
        <v>510123</v>
      </c>
      <c r="C35" s="19" t="s">
        <v>80</v>
      </c>
      <c r="D35" s="167">
        <f>'MAYOR Y BALANCE'!L152</f>
        <v>0</v>
      </c>
      <c r="E35" s="8"/>
      <c r="F35" s="1"/>
    </row>
    <row r="36" spans="1:6">
      <c r="A36" s="6"/>
      <c r="B36" s="164">
        <v>5102</v>
      </c>
      <c r="C36" s="17" t="s">
        <v>85</v>
      </c>
      <c r="D36" s="165">
        <f>SUM(D37:D38)</f>
        <v>81483438</v>
      </c>
      <c r="E36" s="8"/>
      <c r="F36" s="1"/>
    </row>
    <row r="37" spans="1:6" ht="14.25">
      <c r="A37" s="6"/>
      <c r="B37" s="168">
        <v>510216</v>
      </c>
      <c r="C37" s="19" t="s">
        <v>337</v>
      </c>
      <c r="D37" s="167">
        <f>+'MAYOR Y BALANCE'!L158</f>
        <v>40090360</v>
      </c>
      <c r="E37" s="8"/>
      <c r="F37" s="1"/>
    </row>
    <row r="38" spans="1:6" ht="14.25">
      <c r="A38" s="6"/>
      <c r="B38" s="168">
        <v>510290</v>
      </c>
      <c r="C38" s="19" t="s">
        <v>86</v>
      </c>
      <c r="D38" s="167">
        <f>'MAYOR Y BALANCE'!L159</f>
        <v>41393078</v>
      </c>
      <c r="E38" s="8"/>
      <c r="F38" s="1"/>
    </row>
    <row r="39" spans="1:6">
      <c r="A39" s="6"/>
      <c r="B39" s="164">
        <v>5103</v>
      </c>
      <c r="C39" s="17" t="s">
        <v>87</v>
      </c>
      <c r="D39" s="165">
        <f>SUM(D40:D42)</f>
        <v>50398879</v>
      </c>
      <c r="E39" s="8"/>
      <c r="F39" s="1"/>
    </row>
    <row r="40" spans="1:6" ht="14.25">
      <c r="A40" s="6"/>
      <c r="B40" s="168">
        <v>510302</v>
      </c>
      <c r="C40" s="19" t="s">
        <v>88</v>
      </c>
      <c r="D40" s="167">
        <f>'MAYOR Y BALANCE'!L161</f>
        <v>13272900</v>
      </c>
      <c r="E40" s="8"/>
      <c r="F40" s="1"/>
    </row>
    <row r="41" spans="1:6" ht="14.25">
      <c r="A41" s="6"/>
      <c r="B41" s="168">
        <v>510303</v>
      </c>
      <c r="C41" s="19" t="s">
        <v>135</v>
      </c>
      <c r="D41" s="167">
        <f>'MAYOR Y BALANCE'!L162</f>
        <v>29506779</v>
      </c>
      <c r="E41" s="8"/>
      <c r="F41" s="1"/>
    </row>
    <row r="42" spans="1:6" ht="14.25">
      <c r="A42" s="6"/>
      <c r="B42" s="168">
        <v>510305</v>
      </c>
      <c r="C42" s="19" t="s">
        <v>89</v>
      </c>
      <c r="D42" s="167">
        <f>'MAYOR Y BALANCE'!L163</f>
        <v>7619200</v>
      </c>
      <c r="E42" s="8"/>
      <c r="F42" s="1"/>
    </row>
    <row r="43" spans="1:6">
      <c r="A43" s="6"/>
      <c r="B43" s="164">
        <v>5104</v>
      </c>
      <c r="C43" s="17" t="s">
        <v>136</v>
      </c>
      <c r="D43" s="165">
        <f>SUM(D44:D45)</f>
        <v>16457400</v>
      </c>
      <c r="E43" s="8"/>
      <c r="F43" s="1"/>
    </row>
    <row r="44" spans="1:6" ht="14.25">
      <c r="A44" s="6"/>
      <c r="B44" s="168">
        <v>510401</v>
      </c>
      <c r="C44" s="19" t="s">
        <v>137</v>
      </c>
      <c r="D44" s="167">
        <f>'MAYOR Y BALANCE'!L165</f>
        <v>9955200</v>
      </c>
      <c r="E44" s="8"/>
    </row>
    <row r="45" spans="1:6" ht="14.25">
      <c r="A45" s="6"/>
      <c r="B45" s="168">
        <v>510402</v>
      </c>
      <c r="C45" s="19" t="s">
        <v>138</v>
      </c>
      <c r="D45" s="167">
        <f>'MAYOR Y BALANCE'!L166</f>
        <v>6502200</v>
      </c>
      <c r="E45" s="8"/>
    </row>
    <row r="46" spans="1:6">
      <c r="A46" s="6"/>
      <c r="B46" s="164">
        <v>5107</v>
      </c>
      <c r="C46" s="17" t="s">
        <v>215</v>
      </c>
      <c r="D46" s="165">
        <f>SUM(D47:D52)</f>
        <v>68536635</v>
      </c>
      <c r="E46" s="8"/>
    </row>
    <row r="47" spans="1:6" ht="14.25">
      <c r="A47" s="6"/>
      <c r="B47" s="168">
        <v>510701</v>
      </c>
      <c r="C47" s="19" t="s">
        <v>259</v>
      </c>
      <c r="D47" s="167">
        <f>+'MAYOR Y BALANCE'!L168</f>
        <v>24001082</v>
      </c>
      <c r="E47" s="8"/>
    </row>
    <row r="48" spans="1:6" ht="14.25">
      <c r="A48" s="6"/>
      <c r="B48" s="168">
        <v>510702</v>
      </c>
      <c r="C48" s="19" t="s">
        <v>150</v>
      </c>
      <c r="D48" s="167">
        <f>+'MAYOR Y BALANCE'!L169</f>
        <v>0</v>
      </c>
      <c r="E48" s="8"/>
    </row>
    <row r="49" spans="1:6" ht="14.25">
      <c r="A49" s="6"/>
      <c r="B49" s="168">
        <v>510703</v>
      </c>
      <c r="C49" s="19" t="s">
        <v>260</v>
      </c>
      <c r="D49" s="167">
        <f>+'MAYOR Y BALANCE'!L170</f>
        <v>0</v>
      </c>
      <c r="E49" s="8"/>
    </row>
    <row r="50" spans="1:6" ht="14.25">
      <c r="A50" s="6"/>
      <c r="B50" s="168">
        <v>510704</v>
      </c>
      <c r="C50" s="19" t="s">
        <v>77</v>
      </c>
      <c r="D50" s="167">
        <f>+'MAYOR Y BALANCE'!L171</f>
        <v>15360049</v>
      </c>
      <c r="E50" s="8"/>
    </row>
    <row r="51" spans="1:6" s="5" customFormat="1" ht="14.25">
      <c r="A51" s="141"/>
      <c r="B51" s="168">
        <v>510705</v>
      </c>
      <c r="C51" s="19" t="s">
        <v>234</v>
      </c>
      <c r="D51" s="167">
        <f>+'MAYOR Y BALANCE'!L172</f>
        <v>0</v>
      </c>
      <c r="E51" s="148"/>
      <c r="F51" s="82"/>
    </row>
    <row r="52" spans="1:6" s="5" customFormat="1" ht="14.25">
      <c r="A52" s="141"/>
      <c r="B52" s="168">
        <v>510706</v>
      </c>
      <c r="C52" s="19" t="s">
        <v>84</v>
      </c>
      <c r="D52" s="167">
        <f>+'MAYOR Y BALANCE'!L173</f>
        <v>29175504</v>
      </c>
      <c r="E52" s="148"/>
      <c r="F52" s="82"/>
    </row>
    <row r="53" spans="1:6" s="5" customFormat="1">
      <c r="A53" s="141"/>
      <c r="B53" s="164">
        <v>5108</v>
      </c>
      <c r="C53" s="17" t="s">
        <v>261</v>
      </c>
      <c r="D53" s="165">
        <f>SUM(D54:D55)</f>
        <v>345028831</v>
      </c>
      <c r="E53" s="148"/>
      <c r="F53" s="82"/>
    </row>
    <row r="54" spans="1:6" s="5" customFormat="1" ht="14.25">
      <c r="A54" s="141"/>
      <c r="B54" s="168">
        <v>510801</v>
      </c>
      <c r="C54" s="19" t="s">
        <v>262</v>
      </c>
      <c r="D54" s="167">
        <f>+'MAYOR Y BALANCE'!L176</f>
        <v>0</v>
      </c>
      <c r="E54" s="148"/>
      <c r="F54" s="82"/>
    </row>
    <row r="55" spans="1:6" s="5" customFormat="1" ht="14.25">
      <c r="A55" s="141"/>
      <c r="B55" s="168">
        <v>510802</v>
      </c>
      <c r="C55" s="19" t="s">
        <v>23</v>
      </c>
      <c r="D55" s="167">
        <f>+'MAYOR Y BALANCE'!L177</f>
        <v>345028831</v>
      </c>
      <c r="E55" s="148"/>
      <c r="F55" s="82"/>
    </row>
    <row r="56" spans="1:6">
      <c r="A56" s="6"/>
      <c r="B56" s="164">
        <v>5111</v>
      </c>
      <c r="C56" s="17" t="s">
        <v>90</v>
      </c>
      <c r="D56" s="165">
        <f>+D57+D58+D59+D64+D65+D66+D67+D68+D69+D70+D71</f>
        <v>188631023</v>
      </c>
      <c r="E56" s="8"/>
    </row>
    <row r="57" spans="1:6" ht="14.25">
      <c r="A57" s="6"/>
      <c r="B57" s="168">
        <v>511114</v>
      </c>
      <c r="C57" s="19" t="s">
        <v>91</v>
      </c>
      <c r="D57" s="167">
        <f>'MAYOR Y BALANCE'!L179</f>
        <v>23106600</v>
      </c>
      <c r="E57" s="8"/>
    </row>
    <row r="58" spans="1:6" ht="14.25">
      <c r="A58" s="6"/>
      <c r="B58" s="168">
        <v>511115</v>
      </c>
      <c r="C58" s="19" t="s">
        <v>92</v>
      </c>
      <c r="D58" s="167">
        <f>'MAYOR Y BALANCE'!L180</f>
        <v>0</v>
      </c>
      <c r="E58" s="8"/>
    </row>
    <row r="59" spans="1:6" ht="14.25">
      <c r="A59" s="6"/>
      <c r="B59" s="168">
        <v>511117</v>
      </c>
      <c r="C59" s="17" t="s">
        <v>13</v>
      </c>
      <c r="D59" s="163">
        <f>SUM(D60:D63)</f>
        <v>8077840</v>
      </c>
      <c r="E59" s="8"/>
    </row>
    <row r="60" spans="1:6" ht="14.25">
      <c r="A60" s="6"/>
      <c r="B60" s="168">
        <v>51111701</v>
      </c>
      <c r="C60" s="19" t="s">
        <v>93</v>
      </c>
      <c r="D60" s="167">
        <f>'MAYOR Y BALANCE'!L182</f>
        <v>6822770</v>
      </c>
      <c r="E60" s="8"/>
    </row>
    <row r="61" spans="1:6" ht="14.25">
      <c r="A61" s="6"/>
      <c r="B61" s="168">
        <v>51111702</v>
      </c>
      <c r="C61" s="19" t="s">
        <v>94</v>
      </c>
      <c r="D61" s="167">
        <f>'MAYOR Y BALANCE'!L183</f>
        <v>743019</v>
      </c>
      <c r="E61" s="8"/>
    </row>
    <row r="62" spans="1:6" ht="14.25">
      <c r="A62" s="6"/>
      <c r="B62" s="168">
        <v>51111703</v>
      </c>
      <c r="C62" s="19" t="s">
        <v>95</v>
      </c>
      <c r="D62" s="167">
        <f>'MAYOR Y BALANCE'!L184</f>
        <v>402731</v>
      </c>
      <c r="E62" s="8"/>
    </row>
    <row r="63" spans="1:6" ht="14.25">
      <c r="A63" s="6"/>
      <c r="B63" s="168">
        <v>51111704</v>
      </c>
      <c r="C63" s="19" t="s">
        <v>96</v>
      </c>
      <c r="D63" s="167">
        <f>'MAYOR Y BALANCE'!L185</f>
        <v>109320</v>
      </c>
      <c r="E63" s="8"/>
    </row>
    <row r="64" spans="1:6" ht="14.25">
      <c r="A64" s="6"/>
      <c r="B64" s="168">
        <v>511118</v>
      </c>
      <c r="C64" s="19" t="s">
        <v>32</v>
      </c>
      <c r="D64" s="167">
        <f>'MAYOR Y BALANCE'!L186</f>
        <v>52185576</v>
      </c>
      <c r="E64" s="8"/>
    </row>
    <row r="65" spans="1:6" ht="14.25">
      <c r="A65" s="6"/>
      <c r="B65" s="168">
        <v>511119</v>
      </c>
      <c r="C65" s="19" t="s">
        <v>15</v>
      </c>
      <c r="D65" s="167">
        <f>'MAYOR Y BALANCE'!L187</f>
        <v>11831335</v>
      </c>
      <c r="E65" s="8"/>
    </row>
    <row r="66" spans="1:6" ht="14.25">
      <c r="A66" s="6"/>
      <c r="B66" s="168">
        <v>511125</v>
      </c>
      <c r="C66" s="19" t="s">
        <v>302</v>
      </c>
      <c r="D66" s="167">
        <f>+'MAYOR Y BALANCE'!L191</f>
        <v>0</v>
      </c>
      <c r="E66" s="8"/>
    </row>
    <row r="67" spans="1:6" ht="14.25">
      <c r="A67" s="6"/>
      <c r="B67" s="168">
        <v>511146</v>
      </c>
      <c r="C67" s="19" t="s">
        <v>99</v>
      </c>
      <c r="D67" s="167">
        <f>'MAYOR Y BALANCE'!L192</f>
        <v>5559992</v>
      </c>
      <c r="E67" s="8"/>
    </row>
    <row r="68" spans="1:6" s="5" customFormat="1" ht="14.25">
      <c r="A68" s="141"/>
      <c r="B68" s="168">
        <v>511155</v>
      </c>
      <c r="C68" s="19" t="s">
        <v>299</v>
      </c>
      <c r="D68" s="167">
        <f>+'MAYOR Y BALANCE'!L193</f>
        <v>23734200</v>
      </c>
      <c r="E68" s="8"/>
      <c r="F68" s="82"/>
    </row>
    <row r="69" spans="1:6" s="5" customFormat="1" ht="14.25">
      <c r="A69" s="141"/>
      <c r="B69" s="168">
        <v>511164</v>
      </c>
      <c r="C69" s="19" t="s">
        <v>300</v>
      </c>
      <c r="D69" s="167">
        <f>+'MAYOR Y BALANCE'!L194</f>
        <v>2189500</v>
      </c>
      <c r="E69" s="8"/>
      <c r="F69" s="82"/>
    </row>
    <row r="70" spans="1:6" s="5" customFormat="1" ht="14.25">
      <c r="A70" s="141"/>
      <c r="B70" s="168">
        <v>511179</v>
      </c>
      <c r="C70" s="19" t="s">
        <v>23</v>
      </c>
      <c r="D70" s="167">
        <f>+'MAYOR Y BALANCE'!L196</f>
        <v>19000000</v>
      </c>
      <c r="E70" s="8"/>
      <c r="F70" s="82"/>
    </row>
    <row r="71" spans="1:6" ht="14.25">
      <c r="A71" s="6"/>
      <c r="B71" s="168">
        <v>511190</v>
      </c>
      <c r="C71" s="19" t="s">
        <v>100</v>
      </c>
      <c r="D71" s="167">
        <f>'MAYOR Y BALANCE'!L197</f>
        <v>42945980</v>
      </c>
      <c r="E71" s="148"/>
    </row>
    <row r="72" spans="1:6">
      <c r="A72" s="6"/>
      <c r="B72" s="164">
        <v>5120</v>
      </c>
      <c r="C72" s="17" t="s">
        <v>101</v>
      </c>
      <c r="D72" s="165">
        <f>SUM(D73:D76)</f>
        <v>950284</v>
      </c>
      <c r="E72" s="8"/>
    </row>
    <row r="73" spans="1:6" ht="14.25">
      <c r="A73" s="6"/>
      <c r="B73" s="168">
        <v>512011</v>
      </c>
      <c r="C73" s="19" t="s">
        <v>185</v>
      </c>
      <c r="D73" s="167">
        <f>'MAYOR Y BALANCE'!L200</f>
        <v>670575</v>
      </c>
      <c r="E73" s="8"/>
    </row>
    <row r="74" spans="1:6" ht="14.25">
      <c r="A74" s="6"/>
      <c r="B74" s="168">
        <v>512017</v>
      </c>
      <c r="C74" s="19" t="s">
        <v>103</v>
      </c>
      <c r="D74" s="167">
        <f>'MAYOR Y BALANCE'!L201</f>
        <v>0</v>
      </c>
      <c r="E74" s="8"/>
    </row>
    <row r="75" spans="1:6" ht="14.25">
      <c r="A75" s="6"/>
      <c r="B75" s="168">
        <v>512024</v>
      </c>
      <c r="C75" s="19" t="s">
        <v>142</v>
      </c>
      <c r="D75" s="167">
        <f>'MAYOR Y BALANCE'!L202</f>
        <v>279709</v>
      </c>
      <c r="E75" s="8"/>
    </row>
    <row r="76" spans="1:6" ht="14.25">
      <c r="A76" s="6"/>
      <c r="B76" s="168">
        <v>512090</v>
      </c>
      <c r="C76" s="19" t="s">
        <v>167</v>
      </c>
      <c r="D76" s="167">
        <f>'MAYOR Y BALANCE'!L203</f>
        <v>0</v>
      </c>
      <c r="E76" s="8"/>
    </row>
    <row r="77" spans="1:6">
      <c r="A77" s="6"/>
      <c r="B77" s="164">
        <v>5208</v>
      </c>
      <c r="C77" s="17" t="s">
        <v>215</v>
      </c>
      <c r="D77" s="165">
        <f>SUM(D78:D82)</f>
        <v>0</v>
      </c>
      <c r="E77" s="8"/>
    </row>
    <row r="78" spans="1:6" ht="14.25">
      <c r="A78" s="6"/>
      <c r="B78" s="168">
        <v>520801</v>
      </c>
      <c r="C78" s="19" t="s">
        <v>79</v>
      </c>
      <c r="D78" s="167">
        <v>0</v>
      </c>
      <c r="E78" s="8"/>
    </row>
    <row r="79" spans="1:6" ht="14.25">
      <c r="A79" s="6"/>
      <c r="B79" s="168">
        <v>520802</v>
      </c>
      <c r="C79" s="19" t="s">
        <v>81</v>
      </c>
      <c r="D79" s="167">
        <f>'MAYOR Y BALANCE'!L153</f>
        <v>0</v>
      </c>
      <c r="E79" s="8"/>
    </row>
    <row r="80" spans="1:6" ht="14.25">
      <c r="A80" s="6"/>
      <c r="B80" s="168">
        <v>520803</v>
      </c>
      <c r="C80" s="19" t="s">
        <v>233</v>
      </c>
      <c r="D80" s="167">
        <v>0</v>
      </c>
      <c r="E80" s="8"/>
    </row>
    <row r="81" spans="1:5" ht="14.25">
      <c r="A81" s="6"/>
      <c r="B81" s="168">
        <v>520804</v>
      </c>
      <c r="C81" s="19" t="s">
        <v>77</v>
      </c>
      <c r="D81" s="167">
        <v>0</v>
      </c>
      <c r="E81" s="8"/>
    </row>
    <row r="82" spans="1:5" ht="14.25">
      <c r="A82" s="6"/>
      <c r="B82" s="168">
        <v>520806</v>
      </c>
      <c r="C82" s="19" t="s">
        <v>84</v>
      </c>
      <c r="D82" s="167">
        <v>0</v>
      </c>
      <c r="E82" s="8"/>
    </row>
    <row r="83" spans="1:5">
      <c r="A83" s="6"/>
      <c r="B83" s="164">
        <v>53</v>
      </c>
      <c r="C83" s="17" t="s">
        <v>104</v>
      </c>
      <c r="D83" s="163">
        <f>D86+D84</f>
        <v>0</v>
      </c>
      <c r="E83" s="8"/>
    </row>
    <row r="84" spans="1:5">
      <c r="A84" s="6"/>
      <c r="B84" s="164">
        <v>5366</v>
      </c>
      <c r="C84" s="5" t="s">
        <v>195</v>
      </c>
      <c r="D84" s="165">
        <f>+D85</f>
        <v>0</v>
      </c>
      <c r="E84" s="8"/>
    </row>
    <row r="85" spans="1:5" ht="14.25">
      <c r="A85" s="6"/>
      <c r="B85" s="168">
        <v>536690</v>
      </c>
      <c r="C85" s="2" t="s">
        <v>169</v>
      </c>
      <c r="D85" s="167">
        <f>'MAYOR Y BALANCE'!L211</f>
        <v>0</v>
      </c>
      <c r="E85" s="8"/>
    </row>
    <row r="86" spans="1:5">
      <c r="A86" s="6"/>
      <c r="B86" s="164">
        <v>5360</v>
      </c>
      <c r="C86" s="17" t="s">
        <v>105</v>
      </c>
      <c r="D86" s="165">
        <f>SUM(D87:D90)</f>
        <v>0</v>
      </c>
      <c r="E86" s="8"/>
    </row>
    <row r="87" spans="1:5" ht="14.25">
      <c r="A87" s="6"/>
      <c r="B87" s="168">
        <v>536004</v>
      </c>
      <c r="C87" s="19" t="s">
        <v>106</v>
      </c>
      <c r="D87" s="167">
        <f>'MAYOR Y BALANCE'!L206</f>
        <v>0</v>
      </c>
      <c r="E87" s="8"/>
    </row>
    <row r="88" spans="1:5" ht="14.25">
      <c r="A88" s="6"/>
      <c r="B88" s="168">
        <v>536006</v>
      </c>
      <c r="C88" s="19" t="s">
        <v>38</v>
      </c>
      <c r="D88" s="167">
        <f>'MAYOR Y BALANCE'!L207</f>
        <v>0</v>
      </c>
      <c r="E88" s="8"/>
    </row>
    <row r="89" spans="1:5" ht="14.25">
      <c r="A89" s="6"/>
      <c r="B89" s="168">
        <v>536007</v>
      </c>
      <c r="C89" s="19" t="s">
        <v>41</v>
      </c>
      <c r="D89" s="167">
        <f>'MAYOR Y BALANCE'!L208</f>
        <v>0</v>
      </c>
      <c r="E89" s="8"/>
    </row>
    <row r="90" spans="1:5" ht="14.25">
      <c r="A90" s="6"/>
      <c r="B90" s="168">
        <v>536008</v>
      </c>
      <c r="C90" s="19" t="s">
        <v>46</v>
      </c>
      <c r="D90" s="167">
        <f>'MAYOR Y BALANCE'!L209</f>
        <v>0</v>
      </c>
      <c r="E90" s="8"/>
    </row>
    <row r="91" spans="1:5">
      <c r="A91" s="6"/>
      <c r="B91" s="164">
        <v>5423</v>
      </c>
      <c r="C91" s="42" t="s">
        <v>166</v>
      </c>
      <c r="D91" s="165">
        <f>D92</f>
        <v>0</v>
      </c>
      <c r="E91" s="8"/>
    </row>
    <row r="92" spans="1:5" ht="12.75" customHeight="1">
      <c r="A92" s="6"/>
      <c r="B92" s="168">
        <v>542390</v>
      </c>
      <c r="C92" s="2" t="s">
        <v>168</v>
      </c>
      <c r="D92" s="167">
        <f>'MAYOR Y BALANCE'!L216</f>
        <v>0</v>
      </c>
      <c r="E92" s="8"/>
    </row>
    <row r="93" spans="1:5" ht="12.75" customHeight="1">
      <c r="A93" s="6"/>
      <c r="B93" s="162">
        <v>55</v>
      </c>
      <c r="C93" s="14" t="s">
        <v>107</v>
      </c>
      <c r="D93" s="163">
        <f>D94</f>
        <v>0</v>
      </c>
      <c r="E93" s="8"/>
    </row>
    <row r="94" spans="1:5">
      <c r="A94" s="6"/>
      <c r="B94" s="164">
        <v>5503</v>
      </c>
      <c r="C94" s="17" t="s">
        <v>108</v>
      </c>
      <c r="D94" s="165">
        <f>D95</f>
        <v>0</v>
      </c>
      <c r="E94" s="8"/>
    </row>
    <row r="95" spans="1:5" ht="14.25">
      <c r="A95" s="6"/>
      <c r="B95" s="169">
        <v>550306</v>
      </c>
      <c r="C95" s="3" t="s">
        <v>109</v>
      </c>
      <c r="D95" s="167">
        <f>'MAYOR Y BALANCE'!L219</f>
        <v>0</v>
      </c>
      <c r="E95" s="8"/>
    </row>
    <row r="96" spans="1:5">
      <c r="A96" s="6"/>
      <c r="B96" s="178">
        <v>5804</v>
      </c>
      <c r="C96" s="49" t="s">
        <v>329</v>
      </c>
      <c r="D96" s="165">
        <f>+D97</f>
        <v>0</v>
      </c>
      <c r="E96" s="8"/>
    </row>
    <row r="97" spans="1:6" ht="14.25">
      <c r="A97" s="6"/>
      <c r="B97" s="169">
        <v>580490</v>
      </c>
      <c r="C97" s="3" t="s">
        <v>328</v>
      </c>
      <c r="D97" s="167">
        <f>+'MAYOR Y BALANCE'!L225</f>
        <v>0</v>
      </c>
      <c r="E97" s="8"/>
    </row>
    <row r="98" spans="1:6" ht="15" customHeight="1">
      <c r="A98" s="6"/>
      <c r="B98" s="178">
        <v>5890</v>
      </c>
      <c r="C98" s="49" t="s">
        <v>250</v>
      </c>
      <c r="D98" s="165">
        <f>+D99</f>
        <v>15969991</v>
      </c>
      <c r="E98" s="8"/>
    </row>
    <row r="99" spans="1:6" ht="14.25">
      <c r="A99" s="6"/>
      <c r="B99" s="168">
        <v>589012</v>
      </c>
      <c r="C99" s="19" t="s">
        <v>335</v>
      </c>
      <c r="D99" s="167">
        <f>+'MAYOR Y BALANCE'!L227</f>
        <v>15969991</v>
      </c>
      <c r="E99" s="8"/>
      <c r="F99" s="1"/>
    </row>
    <row r="100" spans="1:6" ht="14.25">
      <c r="A100" s="6"/>
      <c r="B100" s="169"/>
      <c r="C100" s="3"/>
      <c r="D100" s="167"/>
      <c r="E100" s="8"/>
      <c r="F100" s="1"/>
    </row>
    <row r="101" spans="1:6" ht="15" customHeight="1">
      <c r="A101" s="187"/>
      <c r="B101" s="599" t="s">
        <v>230</v>
      </c>
      <c r="C101" s="600"/>
      <c r="D101" s="236">
        <f>+D7-D28</f>
        <v>-1060842495</v>
      </c>
      <c r="E101" s="8"/>
      <c r="F101" s="1"/>
    </row>
    <row r="102" spans="1:6">
      <c r="A102" s="187"/>
      <c r="B102" s="166"/>
      <c r="D102" s="234"/>
      <c r="E102" s="8"/>
      <c r="F102" s="1"/>
    </row>
    <row r="103" spans="1:6">
      <c r="A103" s="6"/>
      <c r="B103" s="599" t="s">
        <v>232</v>
      </c>
      <c r="C103" s="600"/>
      <c r="D103" s="236">
        <f>+D101</f>
        <v>-1060842495</v>
      </c>
      <c r="E103" s="8"/>
      <c r="F103" s="1"/>
    </row>
    <row r="104" spans="1:6">
      <c r="A104" s="6"/>
      <c r="B104" s="188"/>
      <c r="C104" s="189"/>
      <c r="D104" s="236"/>
      <c r="E104" s="8"/>
      <c r="F104" s="1"/>
    </row>
    <row r="105" spans="1:6" ht="15.75">
      <c r="A105" s="6"/>
      <c r="B105" s="597" t="s">
        <v>230</v>
      </c>
      <c r="C105" s="598"/>
      <c r="D105" s="170">
        <f>+D103</f>
        <v>-1060842495</v>
      </c>
      <c r="E105" s="8"/>
      <c r="F105" s="1"/>
    </row>
    <row r="106" spans="1:6" ht="21.75" customHeight="1">
      <c r="A106" s="6"/>
      <c r="E106" s="8"/>
      <c r="F106" s="1"/>
    </row>
    <row r="107" spans="1:6">
      <c r="A107" s="6"/>
      <c r="E107" s="8"/>
      <c r="F107" s="1"/>
    </row>
    <row r="108" spans="1:6">
      <c r="A108" s="6"/>
      <c r="C108" s="182" t="s">
        <v>347</v>
      </c>
      <c r="D108" s="196"/>
      <c r="E108" s="8"/>
    </row>
    <row r="109" spans="1:6">
      <c r="A109" s="6"/>
      <c r="C109" s="196" t="s">
        <v>289</v>
      </c>
      <c r="D109" s="196"/>
      <c r="E109" s="8"/>
    </row>
    <row r="110" spans="1:6">
      <c r="A110" s="6"/>
      <c r="C110" s="196" t="s">
        <v>290</v>
      </c>
      <c r="D110" s="196"/>
      <c r="E110" s="8"/>
    </row>
    <row r="111" spans="1:6">
      <c r="A111" s="6"/>
      <c r="E111" s="8"/>
    </row>
    <row r="112" spans="1:6">
      <c r="A112" s="6"/>
      <c r="B112" s="196" t="s">
        <v>291</v>
      </c>
      <c r="D112" s="185" t="s">
        <v>294</v>
      </c>
      <c r="E112" s="8"/>
    </row>
    <row r="113" spans="1:5">
      <c r="A113" s="6"/>
      <c r="B113" s="196" t="s">
        <v>292</v>
      </c>
      <c r="D113" s="185" t="s">
        <v>295</v>
      </c>
      <c r="E113" s="8"/>
    </row>
    <row r="114" spans="1:5" ht="14.25" thickBot="1">
      <c r="A114" s="190"/>
      <c r="B114" s="142" t="s">
        <v>293</v>
      </c>
      <c r="C114" s="46"/>
      <c r="D114" s="142" t="s">
        <v>296</v>
      </c>
      <c r="E114" s="22"/>
    </row>
    <row r="115" spans="1:5">
      <c r="A115" s="210"/>
      <c r="E115" s="211"/>
    </row>
    <row r="116" spans="1:5" ht="14.25" thickBot="1">
      <c r="A116" s="190"/>
      <c r="B116" s="46"/>
      <c r="C116" s="46"/>
      <c r="D116" s="46"/>
      <c r="E116" s="22"/>
    </row>
  </sheetData>
  <mergeCells count="8">
    <mergeCell ref="B105:C105"/>
    <mergeCell ref="B101:C101"/>
    <mergeCell ref="B103:C103"/>
    <mergeCell ref="B1:D1"/>
    <mergeCell ref="B2:D2"/>
    <mergeCell ref="B3:D3"/>
    <mergeCell ref="B4:D4"/>
    <mergeCell ref="B7:C7"/>
  </mergeCells>
  <pageMargins left="1.1811023622047201" right="0.70866141732283505" top="0.25" bottom="0.25" header="0.31496062992126" footer="0.31496062992126"/>
  <pageSetup paperSize="5" scale="65" orientation="portrait" r:id="rId1"/>
  <headerFooter>
    <oddFooter>&amp;L&amp;12&amp;K0070C0&amp;A&amp;11&amp;K01+000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9"/>
  <sheetViews>
    <sheetView topLeftCell="A81" zoomScale="106" zoomScaleNormal="106" workbookViewId="0">
      <selection activeCell="D1" sqref="D1"/>
    </sheetView>
  </sheetViews>
  <sheetFormatPr baseColWidth="10" defaultRowHeight="15"/>
  <cols>
    <col min="1" max="1" width="2.5703125" customWidth="1"/>
    <col min="2" max="2" width="6.85546875" customWidth="1"/>
    <col min="3" max="3" width="24.42578125" customWidth="1"/>
    <col min="4" max="5" width="12.28515625" customWidth="1"/>
    <col min="6" max="6" width="12.85546875" customWidth="1"/>
    <col min="7" max="7" width="7.85546875" customWidth="1"/>
    <col min="8" max="8" width="2.5703125" customWidth="1"/>
  </cols>
  <sheetData>
    <row r="1" spans="1:8">
      <c r="A1" s="444"/>
      <c r="B1" s="445"/>
      <c r="C1" s="445"/>
      <c r="D1" s="445"/>
      <c r="E1" s="445"/>
      <c r="F1" s="445"/>
      <c r="G1" s="269"/>
      <c r="H1" s="446"/>
    </row>
    <row r="2" spans="1:8">
      <c r="A2" s="447"/>
      <c r="B2" s="616" t="s">
        <v>319</v>
      </c>
      <c r="C2" s="617"/>
      <c r="D2" s="617"/>
      <c r="E2" s="617"/>
      <c r="F2" s="618"/>
      <c r="G2" s="619"/>
      <c r="H2" s="448"/>
    </row>
    <row r="3" spans="1:8">
      <c r="A3" s="447"/>
      <c r="B3" s="620" t="s">
        <v>183</v>
      </c>
      <c r="C3" s="621"/>
      <c r="D3" s="621"/>
      <c r="E3" s="621"/>
      <c r="F3" s="622"/>
      <c r="G3" s="623"/>
      <c r="H3" s="448"/>
    </row>
    <row r="4" spans="1:8">
      <c r="A4" s="447"/>
      <c r="B4" s="620" t="s">
        <v>311</v>
      </c>
      <c r="C4" s="621"/>
      <c r="D4" s="621"/>
      <c r="E4" s="621"/>
      <c r="F4" s="622"/>
      <c r="G4" s="623"/>
      <c r="H4" s="448"/>
    </row>
    <row r="5" spans="1:8">
      <c r="A5" s="447"/>
      <c r="B5" s="624" t="s">
        <v>341</v>
      </c>
      <c r="C5" s="625"/>
      <c r="D5" s="625"/>
      <c r="E5" s="625"/>
      <c r="F5" s="626"/>
      <c r="G5" s="627"/>
      <c r="H5" s="448"/>
    </row>
    <row r="6" spans="1:8" ht="15.75">
      <c r="A6" s="447"/>
      <c r="B6" s="449"/>
      <c r="C6" s="212"/>
      <c r="D6" s="630" t="s">
        <v>330</v>
      </c>
      <c r="E6" s="631"/>
      <c r="F6" s="450"/>
      <c r="G6" s="291"/>
      <c r="H6" s="448"/>
    </row>
    <row r="7" spans="1:8" ht="15.75">
      <c r="A7" s="447"/>
      <c r="B7" s="449"/>
      <c r="C7" s="212"/>
      <c r="D7" s="218">
        <v>2022</v>
      </c>
      <c r="E7" s="218">
        <v>2021</v>
      </c>
      <c r="F7" s="218" t="s">
        <v>305</v>
      </c>
      <c r="G7" s="292" t="s">
        <v>306</v>
      </c>
      <c r="H7" s="448"/>
    </row>
    <row r="8" spans="1:8">
      <c r="A8" s="447"/>
      <c r="B8" s="451">
        <v>4</v>
      </c>
      <c r="C8" s="452" t="s">
        <v>62</v>
      </c>
      <c r="D8" s="453">
        <f>D9</f>
        <v>40090555</v>
      </c>
      <c r="E8" s="454">
        <f>E9</f>
        <v>2939991390</v>
      </c>
      <c r="F8" s="454">
        <f>F9</f>
        <v>-2899900835</v>
      </c>
      <c r="G8" s="270">
        <f>G9</f>
        <v>100</v>
      </c>
      <c r="H8" s="448"/>
    </row>
    <row r="9" spans="1:8">
      <c r="A9" s="447"/>
      <c r="B9" s="628" t="s">
        <v>327</v>
      </c>
      <c r="C9" s="629"/>
      <c r="D9" s="455">
        <f>+D10+D13</f>
        <v>40090555</v>
      </c>
      <c r="E9" s="455">
        <f>+E10+E13</f>
        <v>2939991390</v>
      </c>
      <c r="F9" s="455">
        <f>+F10+F13</f>
        <v>-2899900835</v>
      </c>
      <c r="G9" s="271">
        <f>+G10+G13</f>
        <v>100</v>
      </c>
      <c r="H9" s="448"/>
    </row>
    <row r="10" spans="1:8">
      <c r="A10" s="447"/>
      <c r="B10" s="459">
        <v>44</v>
      </c>
      <c r="C10" s="460" t="s">
        <v>64</v>
      </c>
      <c r="D10" s="461">
        <f>+D11</f>
        <v>0</v>
      </c>
      <c r="E10" s="461">
        <f>+E11</f>
        <v>0</v>
      </c>
      <c r="F10" s="461">
        <f>+F11</f>
        <v>0</v>
      </c>
      <c r="G10" s="273">
        <f>+G11</f>
        <v>0</v>
      </c>
      <c r="H10" s="448"/>
    </row>
    <row r="11" spans="1:8">
      <c r="A11" s="447"/>
      <c r="B11" s="464">
        <v>4428</v>
      </c>
      <c r="C11" s="465" t="s">
        <v>65</v>
      </c>
      <c r="D11" s="461">
        <f>D12</f>
        <v>0</v>
      </c>
      <c r="E11" s="461">
        <f>E12</f>
        <v>0</v>
      </c>
      <c r="F11" s="461">
        <f>F12</f>
        <v>0</v>
      </c>
      <c r="G11" s="273">
        <f>G12</f>
        <v>0</v>
      </c>
      <c r="H11" s="448"/>
    </row>
    <row r="12" spans="1:8" ht="15.75">
      <c r="A12" s="447"/>
      <c r="B12" s="464">
        <v>442803</v>
      </c>
      <c r="C12" s="466" t="s">
        <v>67</v>
      </c>
      <c r="D12" s="458">
        <v>0</v>
      </c>
      <c r="E12" s="458">
        <v>0</v>
      </c>
      <c r="F12" s="509">
        <f>+D12-E12</f>
        <v>0</v>
      </c>
      <c r="G12" s="275">
        <f>+F12*100/F8</f>
        <v>0</v>
      </c>
      <c r="H12" s="448"/>
    </row>
    <row r="13" spans="1:8">
      <c r="A13" s="447"/>
      <c r="B13" s="459">
        <v>48</v>
      </c>
      <c r="C13" s="460" t="s">
        <v>68</v>
      </c>
      <c r="D13" s="461">
        <f>+D14+D16</f>
        <v>40090555</v>
      </c>
      <c r="E13" s="462">
        <f>+E14+E16</f>
        <v>2939991390</v>
      </c>
      <c r="F13" s="463">
        <f>+F14+F16</f>
        <v>-2899900835</v>
      </c>
      <c r="G13" s="273">
        <f>+G14+G16</f>
        <v>100</v>
      </c>
      <c r="H13" s="448"/>
    </row>
    <row r="14" spans="1:8">
      <c r="A14" s="447"/>
      <c r="B14" s="464">
        <v>4802</v>
      </c>
      <c r="C14" s="465" t="s">
        <v>69</v>
      </c>
      <c r="D14" s="461">
        <f>+D15</f>
        <v>195</v>
      </c>
      <c r="E14" s="462">
        <f>+E15</f>
        <v>430</v>
      </c>
      <c r="F14" s="463">
        <f>+F15</f>
        <v>-235</v>
      </c>
      <c r="G14" s="273">
        <f>+G15</f>
        <v>8.1037253813542907E-6</v>
      </c>
      <c r="H14" s="448"/>
    </row>
    <row r="15" spans="1:8" ht="15.75">
      <c r="A15" s="447"/>
      <c r="B15" s="469">
        <v>480201</v>
      </c>
      <c r="C15" s="466" t="s">
        <v>70</v>
      </c>
      <c r="D15" s="458">
        <f>+'MAYOR Y BALANCE'!M142</f>
        <v>195</v>
      </c>
      <c r="E15" s="467">
        <v>430</v>
      </c>
      <c r="F15" s="468">
        <f>+D15-E15</f>
        <v>-235</v>
      </c>
      <c r="G15" s="272">
        <f>+F15*100/F8</f>
        <v>8.1037253813542907E-6</v>
      </c>
      <c r="H15" s="448"/>
    </row>
    <row r="16" spans="1:8">
      <c r="A16" s="447"/>
      <c r="B16" s="464">
        <v>4808</v>
      </c>
      <c r="C16" s="465" t="s">
        <v>253</v>
      </c>
      <c r="D16" s="461">
        <f>SUM(D17:D18)</f>
        <v>40090360</v>
      </c>
      <c r="E16" s="461">
        <f>SUM(E17:E18)</f>
        <v>2939990960</v>
      </c>
      <c r="F16" s="461">
        <f>SUM(F17:F18)</f>
        <v>-2899900600</v>
      </c>
      <c r="G16" s="470">
        <f>SUM(G17:G18)</f>
        <v>99.999991896274622</v>
      </c>
      <c r="H16" s="448"/>
    </row>
    <row r="17" spans="1:8" ht="15.75">
      <c r="A17" s="447"/>
      <c r="B17" s="469">
        <v>480826</v>
      </c>
      <c r="C17" s="466" t="s">
        <v>312</v>
      </c>
      <c r="D17" s="458">
        <v>0</v>
      </c>
      <c r="E17" s="467">
        <v>0</v>
      </c>
      <c r="F17" s="468">
        <f>+D17-E17</f>
        <v>0</v>
      </c>
      <c r="G17" s="274">
        <f>+F17*100/F8</f>
        <v>0</v>
      </c>
      <c r="H17" s="448"/>
    </row>
    <row r="18" spans="1:8" ht="15.75">
      <c r="A18" s="447"/>
      <c r="B18" s="469">
        <v>480890</v>
      </c>
      <c r="C18" s="212" t="s">
        <v>287</v>
      </c>
      <c r="D18" s="458">
        <f>+'MAYOR Y BALANCE'!M145</f>
        <v>40090360</v>
      </c>
      <c r="E18" s="471">
        <v>2939990960</v>
      </c>
      <c r="F18" s="472">
        <f>+D18-E18</f>
        <v>-2899900600</v>
      </c>
      <c r="G18" s="272">
        <f>+F18*100/F9</f>
        <v>99.999991896274622</v>
      </c>
      <c r="H18" s="448"/>
    </row>
    <row r="19" spans="1:8">
      <c r="A19" s="447"/>
      <c r="B19" s="473">
        <v>5</v>
      </c>
      <c r="C19" s="474" t="s">
        <v>72</v>
      </c>
      <c r="D19" s="475">
        <f>+D20+D66+D74+D77</f>
        <v>1100933050</v>
      </c>
      <c r="E19" s="476">
        <f>+E20+E66+E74+E77</f>
        <v>2234499617.4099998</v>
      </c>
      <c r="F19" s="477">
        <f>+F20+F66+F74+F77</f>
        <v>-1133566567.4100001</v>
      </c>
      <c r="G19" s="276">
        <f>+G20+G66+G74+G77</f>
        <v>100</v>
      </c>
      <c r="H19" s="448"/>
    </row>
    <row r="20" spans="1:8">
      <c r="A20" s="447"/>
      <c r="B20" s="459">
        <v>51</v>
      </c>
      <c r="C20" s="460" t="s">
        <v>73</v>
      </c>
      <c r="D20" s="480">
        <f>+D21+D25+D28+D32+D35+D42+D45+D61</f>
        <v>1084963059</v>
      </c>
      <c r="E20" s="481">
        <f>+E21+E25+E28+E32+E35+E42+E45+E61</f>
        <v>2234127129.4099998</v>
      </c>
      <c r="F20" s="482">
        <f>+F21+F25+F28+F32+F35+F42+F45+F61</f>
        <v>-1149164070.4100001</v>
      </c>
      <c r="G20" s="277">
        <f>+F20*100/F19</f>
        <v>101.3759670978686</v>
      </c>
      <c r="H20" s="448"/>
    </row>
    <row r="21" spans="1:8">
      <c r="A21" s="447"/>
      <c r="B21" s="464">
        <v>5101</v>
      </c>
      <c r="C21" s="465" t="s">
        <v>74</v>
      </c>
      <c r="D21" s="456">
        <f>SUM(D22:D24)</f>
        <v>333476569</v>
      </c>
      <c r="E21" s="478">
        <f>SUM(E22:E24)</f>
        <v>641517932</v>
      </c>
      <c r="F21" s="479">
        <f>SUM(F22:F24)</f>
        <v>-308041363</v>
      </c>
      <c r="G21" s="278">
        <f>+F21*100/F20</f>
        <v>26.805690408515527</v>
      </c>
      <c r="H21" s="448"/>
    </row>
    <row r="22" spans="1:8" ht="15.75">
      <c r="A22" s="447"/>
      <c r="B22" s="469">
        <v>510101</v>
      </c>
      <c r="C22" s="466" t="s">
        <v>75</v>
      </c>
      <c r="D22" s="458">
        <f>+'MAYOR Y BALANCE'!L149</f>
        <v>310393097</v>
      </c>
      <c r="E22" s="483">
        <v>594627768</v>
      </c>
      <c r="F22" s="468">
        <f>+D22-E22</f>
        <v>-284234671</v>
      </c>
      <c r="G22" s="272">
        <f>+F22*100/F21</f>
        <v>92.271592435461343</v>
      </c>
      <c r="H22" s="448"/>
    </row>
    <row r="23" spans="1:8" ht="15.75">
      <c r="A23" s="447"/>
      <c r="B23" s="469">
        <v>510105</v>
      </c>
      <c r="C23" s="466" t="s">
        <v>76</v>
      </c>
      <c r="D23" s="458">
        <f>+'MAYOR Y BALANCE'!L150</f>
        <v>11673820</v>
      </c>
      <c r="E23" s="483">
        <v>23544393</v>
      </c>
      <c r="F23" s="468">
        <f>+D23-E23</f>
        <v>-11870573</v>
      </c>
      <c r="G23" s="272">
        <f>+F23*100/F21</f>
        <v>3.8535646266439874</v>
      </c>
      <c r="H23" s="448"/>
    </row>
    <row r="24" spans="1:8" ht="15.75">
      <c r="A24" s="447"/>
      <c r="B24" s="469">
        <v>510119</v>
      </c>
      <c r="C24" s="466" t="s">
        <v>214</v>
      </c>
      <c r="D24" s="458">
        <f>+'MAYOR Y BALANCE'!L151</f>
        <v>11409652</v>
      </c>
      <c r="E24" s="483">
        <v>23345771</v>
      </c>
      <c r="F24" s="468">
        <f>+D24-E24</f>
        <v>-11936119</v>
      </c>
      <c r="G24" s="272">
        <f>+F24*100/F21</f>
        <v>3.8748429378946749</v>
      </c>
      <c r="H24" s="448"/>
    </row>
    <row r="25" spans="1:8">
      <c r="A25" s="447"/>
      <c r="B25" s="464">
        <v>5102</v>
      </c>
      <c r="C25" s="465" t="s">
        <v>85</v>
      </c>
      <c r="D25" s="456">
        <f>SUM(D26:D27)</f>
        <v>81483438</v>
      </c>
      <c r="E25" s="456">
        <f>SUM(E26:E27)</f>
        <v>75835588</v>
      </c>
      <c r="F25" s="456">
        <f>SUM(F26:F27)</f>
        <v>5647850</v>
      </c>
      <c r="G25" s="456">
        <f>SUM(G26:G27)</f>
        <v>-945.70833998330431</v>
      </c>
      <c r="H25" s="448"/>
    </row>
    <row r="26" spans="1:8" ht="15.75">
      <c r="A26" s="447"/>
      <c r="B26" s="469">
        <v>510216</v>
      </c>
      <c r="C26" s="466" t="s">
        <v>337</v>
      </c>
      <c r="D26" s="458">
        <f>+'MAYOR Y BALANCE'!L158</f>
        <v>40090360</v>
      </c>
      <c r="E26" s="483">
        <v>0</v>
      </c>
      <c r="F26" s="468">
        <f>+D26-E26</f>
        <v>40090360</v>
      </c>
      <c r="G26" s="272">
        <f>+F26*100/F24</f>
        <v>-335.87433235208192</v>
      </c>
      <c r="H26" s="448"/>
    </row>
    <row r="27" spans="1:8" ht="15.75">
      <c r="A27" s="447"/>
      <c r="B27" s="469">
        <v>510290</v>
      </c>
      <c r="C27" s="466" t="s">
        <v>86</v>
      </c>
      <c r="D27" s="458">
        <f>+'MAYOR Y BALANCE'!L159</f>
        <v>41393078</v>
      </c>
      <c r="E27" s="483">
        <v>75835588</v>
      </c>
      <c r="F27" s="468">
        <f>+D27-E27</f>
        <v>-34442510</v>
      </c>
      <c r="G27" s="272">
        <f>+F27*100/F25</f>
        <v>-609.83400763122245</v>
      </c>
      <c r="H27" s="448"/>
    </row>
    <row r="28" spans="1:8">
      <c r="A28" s="447"/>
      <c r="B28" s="464">
        <v>5103</v>
      </c>
      <c r="C28" s="465" t="s">
        <v>87</v>
      </c>
      <c r="D28" s="456">
        <f>SUM(D29:D31)</f>
        <v>50398879</v>
      </c>
      <c r="E28" s="478">
        <f t="shared" ref="E28:F28" si="0">SUM(E29:E31)</f>
        <v>93912365</v>
      </c>
      <c r="F28" s="479">
        <f t="shared" si="0"/>
        <v>-43513486</v>
      </c>
      <c r="G28" s="278">
        <f>+F28*100/F20</f>
        <v>3.7865338049139674</v>
      </c>
      <c r="H28" s="448"/>
    </row>
    <row r="29" spans="1:8" ht="15.75">
      <c r="A29" s="447"/>
      <c r="B29" s="469">
        <v>510302</v>
      </c>
      <c r="C29" s="466" t="s">
        <v>88</v>
      </c>
      <c r="D29" s="458">
        <f>+'MAYOR Y BALANCE'!L161</f>
        <v>13272900</v>
      </c>
      <c r="E29" s="483">
        <v>25064500</v>
      </c>
      <c r="F29" s="468">
        <f>+D29-E29</f>
        <v>-11791600</v>
      </c>
      <c r="G29" s="272">
        <f>+F29*100/F28</f>
        <v>27.098725209007618</v>
      </c>
      <c r="H29" s="448"/>
    </row>
    <row r="30" spans="1:8" ht="15.75">
      <c r="A30" s="447"/>
      <c r="B30" s="469">
        <v>510303</v>
      </c>
      <c r="C30" s="466" t="s">
        <v>135</v>
      </c>
      <c r="D30" s="458">
        <f>+'MAYOR Y BALANCE'!L162</f>
        <v>29506779</v>
      </c>
      <c r="E30" s="483">
        <v>53992465</v>
      </c>
      <c r="F30" s="468">
        <f>+D30-E30</f>
        <v>-24485686</v>
      </c>
      <c r="G30" s="272">
        <f>+F30*100/F28</f>
        <v>56.271487878493581</v>
      </c>
      <c r="H30" s="448"/>
    </row>
    <row r="31" spans="1:8" ht="15.75">
      <c r="A31" s="447"/>
      <c r="B31" s="469">
        <v>510305</v>
      </c>
      <c r="C31" s="466" t="s">
        <v>89</v>
      </c>
      <c r="D31" s="458">
        <f>+'MAYOR Y BALANCE'!L163</f>
        <v>7619200</v>
      </c>
      <c r="E31" s="483">
        <v>14855400</v>
      </c>
      <c r="F31" s="468">
        <f>+D31-E31</f>
        <v>-7236200</v>
      </c>
      <c r="G31" s="272">
        <f>+F31*100/F28</f>
        <v>16.629786912498805</v>
      </c>
      <c r="H31" s="448"/>
    </row>
    <row r="32" spans="1:8">
      <c r="A32" s="447"/>
      <c r="B32" s="464">
        <v>5104</v>
      </c>
      <c r="C32" s="465" t="s">
        <v>136</v>
      </c>
      <c r="D32" s="456">
        <f>SUM(D33:D34)</f>
        <v>16457400</v>
      </c>
      <c r="E32" s="478">
        <f t="shared" ref="E32:F32" si="1">SUM(E33:E34)</f>
        <v>29348200</v>
      </c>
      <c r="F32" s="479">
        <f t="shared" si="1"/>
        <v>-12890800</v>
      </c>
      <c r="G32" s="278">
        <f>+F32*100/F20</f>
        <v>1.1217545285244435</v>
      </c>
      <c r="H32" s="448"/>
    </row>
    <row r="33" spans="1:8" ht="15.75">
      <c r="A33" s="447"/>
      <c r="B33" s="469">
        <v>510401</v>
      </c>
      <c r="C33" s="466" t="s">
        <v>137</v>
      </c>
      <c r="D33" s="458">
        <f>+'MAYOR Y BALANCE'!L165</f>
        <v>9955200</v>
      </c>
      <c r="E33" s="483">
        <v>18800800</v>
      </c>
      <c r="F33" s="468">
        <f>+D33-E33</f>
        <v>-8845600</v>
      </c>
      <c r="G33" s="272">
        <f>+F33*100/F32</f>
        <v>68.619480559779063</v>
      </c>
      <c r="H33" s="448"/>
    </row>
    <row r="34" spans="1:8" ht="15.75">
      <c r="A34" s="447"/>
      <c r="B34" s="469">
        <v>510402</v>
      </c>
      <c r="C34" s="466" t="s">
        <v>138</v>
      </c>
      <c r="D34" s="458">
        <f>+'MAYOR Y BALANCE'!L166</f>
        <v>6502200</v>
      </c>
      <c r="E34" s="483">
        <v>10547400</v>
      </c>
      <c r="F34" s="468">
        <f>+D34-E34</f>
        <v>-4045200</v>
      </c>
      <c r="G34" s="272">
        <f>+F34*100/F32</f>
        <v>31.380519440220933</v>
      </c>
      <c r="H34" s="448"/>
    </row>
    <row r="35" spans="1:8">
      <c r="A35" s="447"/>
      <c r="B35" s="464">
        <v>5107</v>
      </c>
      <c r="C35" s="465" t="s">
        <v>215</v>
      </c>
      <c r="D35" s="456">
        <f>SUM(D36:D41)</f>
        <v>68536635</v>
      </c>
      <c r="E35" s="478">
        <f t="shared" ref="E35:F35" si="2">SUM(E36:E41)</f>
        <v>281950302</v>
      </c>
      <c r="F35" s="479">
        <f t="shared" si="2"/>
        <v>-213413667</v>
      </c>
      <c r="G35" s="278">
        <f>+F35*100/F20</f>
        <v>18.571209498732241</v>
      </c>
      <c r="H35" s="448"/>
    </row>
    <row r="36" spans="1:8" ht="15.75">
      <c r="A36" s="447"/>
      <c r="B36" s="469">
        <v>510701</v>
      </c>
      <c r="C36" s="466" t="s">
        <v>259</v>
      </c>
      <c r="D36" s="458">
        <f>+'MAYOR Y BALANCE'!L168</f>
        <v>24001082</v>
      </c>
      <c r="E36" s="483">
        <v>39727223</v>
      </c>
      <c r="F36" s="468">
        <f t="shared" ref="F36:F41" si="3">+D36-E36</f>
        <v>-15726141</v>
      </c>
      <c r="G36" s="272">
        <f>+F36*100/F35</f>
        <v>7.3688537482465923</v>
      </c>
      <c r="H36" s="448"/>
    </row>
    <row r="37" spans="1:8" ht="15.75">
      <c r="A37" s="447"/>
      <c r="B37" s="469">
        <v>510702</v>
      </c>
      <c r="C37" s="466" t="s">
        <v>150</v>
      </c>
      <c r="D37" s="458">
        <f>+'MAYOR Y BALANCE'!L169</f>
        <v>0</v>
      </c>
      <c r="E37" s="483">
        <v>116286680</v>
      </c>
      <c r="F37" s="468">
        <f t="shared" si="3"/>
        <v>-116286680</v>
      </c>
      <c r="G37" s="272">
        <f>+F37*100/F35</f>
        <v>54.488862702499745</v>
      </c>
      <c r="H37" s="448"/>
    </row>
    <row r="38" spans="1:8" ht="15.75">
      <c r="A38" s="447"/>
      <c r="B38" s="469">
        <v>510703</v>
      </c>
      <c r="C38" s="466" t="s">
        <v>260</v>
      </c>
      <c r="D38" s="458">
        <f>+'MAYOR Y BALANCE'!L170</f>
        <v>0</v>
      </c>
      <c r="E38" s="483">
        <v>13488509</v>
      </c>
      <c r="F38" s="468">
        <f t="shared" si="3"/>
        <v>-13488509</v>
      </c>
      <c r="G38" s="272">
        <f>+F38*100/F35</f>
        <v>6.3203585738489751</v>
      </c>
      <c r="H38" s="448"/>
    </row>
    <row r="39" spans="1:8" ht="15.75">
      <c r="A39" s="447"/>
      <c r="B39" s="469">
        <v>510704</v>
      </c>
      <c r="C39" s="466" t="s">
        <v>77</v>
      </c>
      <c r="D39" s="458">
        <f>+'MAYOR Y BALANCE'!L171</f>
        <v>15360049</v>
      </c>
      <c r="E39" s="483">
        <v>29216056</v>
      </c>
      <c r="F39" s="468">
        <f t="shared" si="3"/>
        <v>-13856007</v>
      </c>
      <c r="G39" s="272">
        <f>+F39*100/F35</f>
        <v>6.492558417076447</v>
      </c>
      <c r="H39" s="448"/>
    </row>
    <row r="40" spans="1:8" ht="15.75">
      <c r="A40" s="447"/>
      <c r="B40" s="469">
        <v>510705</v>
      </c>
      <c r="C40" s="466" t="s">
        <v>234</v>
      </c>
      <c r="D40" s="458">
        <f>+'MAYOR Y BALANCE'!L172</f>
        <v>0</v>
      </c>
      <c r="E40" s="483">
        <v>57629898</v>
      </c>
      <c r="F40" s="468">
        <f t="shared" si="3"/>
        <v>-57629898</v>
      </c>
      <c r="G40" s="272">
        <f>+F40*100/F35</f>
        <v>27.003846009543523</v>
      </c>
      <c r="H40" s="448"/>
    </row>
    <row r="41" spans="1:8" ht="15.75">
      <c r="A41" s="447"/>
      <c r="B41" s="469">
        <v>510706</v>
      </c>
      <c r="C41" s="466" t="s">
        <v>84</v>
      </c>
      <c r="D41" s="458">
        <f>+'MAYOR Y BALANCE'!L173</f>
        <v>29175504</v>
      </c>
      <c r="E41" s="483">
        <v>25601936</v>
      </c>
      <c r="F41" s="468">
        <f t="shared" si="3"/>
        <v>3573568</v>
      </c>
      <c r="G41" s="272">
        <f>+F41*100/F35</f>
        <v>-1.6744794512152776</v>
      </c>
      <c r="H41" s="448"/>
    </row>
    <row r="42" spans="1:8">
      <c r="A42" s="447"/>
      <c r="B42" s="464">
        <v>5108</v>
      </c>
      <c r="C42" s="465" t="s">
        <v>261</v>
      </c>
      <c r="D42" s="456">
        <f>SUM(D43:D44)</f>
        <v>345028831</v>
      </c>
      <c r="E42" s="478">
        <f t="shared" ref="E42:F42" si="4">SUM(E43:E44)</f>
        <v>717323932</v>
      </c>
      <c r="F42" s="479">
        <f t="shared" si="4"/>
        <v>-372295101</v>
      </c>
      <c r="G42" s="278">
        <f>+F42*100/F20</f>
        <v>32.397036296755445</v>
      </c>
      <c r="H42" s="448"/>
    </row>
    <row r="43" spans="1:8" ht="15.75">
      <c r="A43" s="447"/>
      <c r="B43" s="469">
        <v>510801</v>
      </c>
      <c r="C43" s="466" t="s">
        <v>262</v>
      </c>
      <c r="D43" s="458">
        <f>+'MAYOR Y BALANCE'!L176</f>
        <v>0</v>
      </c>
      <c r="E43" s="483">
        <v>717323932</v>
      </c>
      <c r="F43" s="468">
        <f>+D43-E43</f>
        <v>-717323932</v>
      </c>
      <c r="G43" s="272">
        <f>+F43*100/F42</f>
        <v>192.6761673933496</v>
      </c>
      <c r="H43" s="448"/>
    </row>
    <row r="44" spans="1:8" ht="15.75">
      <c r="A44" s="447"/>
      <c r="B44" s="469">
        <v>510802</v>
      </c>
      <c r="C44" s="466" t="s">
        <v>23</v>
      </c>
      <c r="D44" s="458">
        <f>+'MAYOR Y BALANCE'!L177</f>
        <v>345028831</v>
      </c>
      <c r="E44" s="483">
        <v>0</v>
      </c>
      <c r="F44" s="468">
        <f>+D44-E44</f>
        <v>345028831</v>
      </c>
      <c r="G44" s="272">
        <f>+F44*100/F42</f>
        <v>-92.676167393349616</v>
      </c>
      <c r="H44" s="448"/>
    </row>
    <row r="45" spans="1:8">
      <c r="A45" s="447"/>
      <c r="B45" s="464">
        <v>5111</v>
      </c>
      <c r="C45" s="465" t="s">
        <v>90</v>
      </c>
      <c r="D45" s="456">
        <f>+D46+D47+D48+D53+D54+D55+D56+D57+D58+D59+D60</f>
        <v>188631023</v>
      </c>
      <c r="E45" s="478">
        <f t="shared" ref="E45:F45" si="5">+E46+E47+E48+E53+E54+E55+E56+E57+E58+E59+E60</f>
        <v>392924258.40999997</v>
      </c>
      <c r="F45" s="479">
        <f t="shared" si="5"/>
        <v>-204293235.41</v>
      </c>
      <c r="G45" s="278">
        <f>+F45*100/F20</f>
        <v>17.777551584702088</v>
      </c>
      <c r="H45" s="448"/>
    </row>
    <row r="46" spans="1:8" ht="15.75">
      <c r="A46" s="447"/>
      <c r="B46" s="469">
        <v>511114</v>
      </c>
      <c r="C46" s="466" t="s">
        <v>91</v>
      </c>
      <c r="D46" s="458">
        <f>+'MAYOR Y BALANCE'!L179</f>
        <v>23106600</v>
      </c>
      <c r="E46" s="483">
        <v>36939999.409999996</v>
      </c>
      <c r="F46" s="468">
        <f>+D46-E46</f>
        <v>-13833399.409999996</v>
      </c>
      <c r="G46" s="272">
        <f>+F46*100/F45</f>
        <v>6.7713448182645308</v>
      </c>
      <c r="H46" s="448"/>
    </row>
    <row r="47" spans="1:8" ht="15.75">
      <c r="A47" s="447"/>
      <c r="B47" s="469">
        <v>511115</v>
      </c>
      <c r="C47" s="466" t="s">
        <v>92</v>
      </c>
      <c r="D47" s="458">
        <f>+'MAYOR Y BALANCE'!L180</f>
        <v>0</v>
      </c>
      <c r="E47" s="483">
        <v>8200000</v>
      </c>
      <c r="F47" s="468">
        <f>+D47-E47</f>
        <v>-8200000</v>
      </c>
      <c r="G47" s="272">
        <f>+F47*100/F45</f>
        <v>4.0138382377386428</v>
      </c>
      <c r="H47" s="448"/>
    </row>
    <row r="48" spans="1:8" ht="15.75">
      <c r="A48" s="447"/>
      <c r="B48" s="469">
        <v>511117</v>
      </c>
      <c r="C48" s="465" t="s">
        <v>13</v>
      </c>
      <c r="D48" s="480">
        <f>SUM(D49:D52)</f>
        <v>8077840</v>
      </c>
      <c r="E48" s="481">
        <f t="shared" ref="E48:F48" si="6">SUM(E49:E52)</f>
        <v>15440424</v>
      </c>
      <c r="F48" s="482">
        <f t="shared" si="6"/>
        <v>-7362584</v>
      </c>
      <c r="G48" s="277">
        <f>+F48*100/F45</f>
        <v>3.6039294131417958</v>
      </c>
      <c r="H48" s="448"/>
    </row>
    <row r="49" spans="1:8" ht="15.75">
      <c r="A49" s="447"/>
      <c r="B49" s="469">
        <v>51111701</v>
      </c>
      <c r="C49" s="466" t="s">
        <v>93</v>
      </c>
      <c r="D49" s="458">
        <f>+'MAYOR Y BALANCE'!L182</f>
        <v>6822770</v>
      </c>
      <c r="E49" s="483">
        <v>13123445</v>
      </c>
      <c r="F49" s="468">
        <f t="shared" ref="F49:F60" si="7">+D49-E49</f>
        <v>-6300675</v>
      </c>
      <c r="G49" s="272">
        <f>+F49*100/F48</f>
        <v>85.576952330866447</v>
      </c>
      <c r="H49" s="448"/>
    </row>
    <row r="50" spans="1:8" ht="15.75">
      <c r="A50" s="447"/>
      <c r="B50" s="469">
        <v>51111702</v>
      </c>
      <c r="C50" s="466" t="s">
        <v>94</v>
      </c>
      <c r="D50" s="458">
        <f>+'MAYOR Y BALANCE'!L183</f>
        <v>743019</v>
      </c>
      <c r="E50" s="483">
        <v>1469011</v>
      </c>
      <c r="F50" s="468">
        <f t="shared" si="7"/>
        <v>-725992</v>
      </c>
      <c r="G50" s="272">
        <f>+F50*100/F48</f>
        <v>9.8605598251918085</v>
      </c>
      <c r="H50" s="448"/>
    </row>
    <row r="51" spans="1:8" ht="15.75">
      <c r="A51" s="447"/>
      <c r="B51" s="469">
        <v>51111703</v>
      </c>
      <c r="C51" s="466" t="s">
        <v>95</v>
      </c>
      <c r="D51" s="458">
        <f>+'MAYOR Y BALANCE'!L184</f>
        <v>402731</v>
      </c>
      <c r="E51" s="483">
        <v>655858</v>
      </c>
      <c r="F51" s="468">
        <f t="shared" si="7"/>
        <v>-253127</v>
      </c>
      <c r="G51" s="272">
        <f>+F51*100/F48</f>
        <v>3.438018500026621</v>
      </c>
      <c r="H51" s="448"/>
    </row>
    <row r="52" spans="1:8" ht="15.75">
      <c r="A52" s="447"/>
      <c r="B52" s="469">
        <v>51111704</v>
      </c>
      <c r="C52" s="466" t="s">
        <v>96</v>
      </c>
      <c r="D52" s="458">
        <f>+'MAYOR Y BALANCE'!L185</f>
        <v>109320</v>
      </c>
      <c r="E52" s="483">
        <v>192110</v>
      </c>
      <c r="F52" s="468">
        <f t="shared" si="7"/>
        <v>-82790</v>
      </c>
      <c r="G52" s="272">
        <f>+F52*100/F48</f>
        <v>1.1244693439151254</v>
      </c>
      <c r="H52" s="448"/>
    </row>
    <row r="53" spans="1:8" ht="15.75">
      <c r="A53" s="447"/>
      <c r="B53" s="469">
        <v>511118</v>
      </c>
      <c r="C53" s="466" t="s">
        <v>32</v>
      </c>
      <c r="D53" s="458">
        <f>+'MAYOR Y BALANCE'!L186</f>
        <v>52185576</v>
      </c>
      <c r="E53" s="483">
        <v>90585200</v>
      </c>
      <c r="F53" s="468">
        <f t="shared" si="7"/>
        <v>-38399624</v>
      </c>
      <c r="G53" s="272">
        <f>+F53*100/F45</f>
        <v>18.796326722681279</v>
      </c>
      <c r="H53" s="448"/>
    </row>
    <row r="54" spans="1:8" ht="15.75">
      <c r="A54" s="447"/>
      <c r="B54" s="469">
        <v>511119</v>
      </c>
      <c r="C54" s="466" t="s">
        <v>15</v>
      </c>
      <c r="D54" s="458">
        <f>+'MAYOR Y BALANCE'!L187</f>
        <v>11831335</v>
      </c>
      <c r="E54" s="483">
        <v>50791324</v>
      </c>
      <c r="F54" s="468">
        <f t="shared" si="7"/>
        <v>-38959989</v>
      </c>
      <c r="G54" s="272">
        <f>+F54*100/F45</f>
        <v>19.070621169521573</v>
      </c>
      <c r="H54" s="448"/>
    </row>
    <row r="55" spans="1:8" ht="15.75">
      <c r="A55" s="447"/>
      <c r="B55" s="469">
        <v>511125</v>
      </c>
      <c r="C55" s="466" t="s">
        <v>302</v>
      </c>
      <c r="D55" s="458">
        <f>+'MAYOR Y BALANCE'!L191</f>
        <v>0</v>
      </c>
      <c r="E55" s="483">
        <v>679375</v>
      </c>
      <c r="F55" s="468">
        <f t="shared" si="7"/>
        <v>-679375</v>
      </c>
      <c r="G55" s="272">
        <f>+F55*100/F46</f>
        <v>4.9111211197219395</v>
      </c>
      <c r="H55" s="448"/>
    </row>
    <row r="56" spans="1:8" ht="15.75">
      <c r="A56" s="447"/>
      <c r="B56" s="469">
        <v>511146</v>
      </c>
      <c r="C56" s="466" t="s">
        <v>99</v>
      </c>
      <c r="D56" s="458">
        <f>+'MAYOR Y BALANCE'!L192</f>
        <v>5559992</v>
      </c>
      <c r="E56" s="483">
        <v>16752221</v>
      </c>
      <c r="F56" s="468">
        <f t="shared" si="7"/>
        <v>-11192229</v>
      </c>
      <c r="G56" s="272">
        <f>+F56*100/F45</f>
        <v>5.4785117958204061</v>
      </c>
      <c r="H56" s="448"/>
    </row>
    <row r="57" spans="1:8" ht="15.75">
      <c r="A57" s="447"/>
      <c r="B57" s="469">
        <v>511155</v>
      </c>
      <c r="C57" s="466" t="s">
        <v>298</v>
      </c>
      <c r="D57" s="458">
        <f>+'MAYOR Y BALANCE'!L193</f>
        <v>23734200</v>
      </c>
      <c r="E57" s="483">
        <v>23799999</v>
      </c>
      <c r="F57" s="468">
        <f t="shared" si="7"/>
        <v>-65799</v>
      </c>
      <c r="G57" s="272">
        <f>+F57*100/F46</f>
        <v>0.47565314966930472</v>
      </c>
      <c r="H57" s="448"/>
    </row>
    <row r="58" spans="1:8" ht="15.75">
      <c r="A58" s="447"/>
      <c r="B58" s="469">
        <v>511164</v>
      </c>
      <c r="C58" s="466" t="s">
        <v>141</v>
      </c>
      <c r="D58" s="458">
        <f>+'MAYOR Y BALANCE'!L194</f>
        <v>2189500</v>
      </c>
      <c r="E58" s="483">
        <v>2010700</v>
      </c>
      <c r="F58" s="468">
        <f t="shared" si="7"/>
        <v>178800</v>
      </c>
      <c r="G58" s="272">
        <f>+F58*100/F45</f>
        <v>-8.7521253281423086E-2</v>
      </c>
      <c r="H58" s="448"/>
    </row>
    <row r="59" spans="1:8" ht="15.75">
      <c r="A59" s="447"/>
      <c r="B59" s="469">
        <v>511179</v>
      </c>
      <c r="C59" s="466" t="s">
        <v>23</v>
      </c>
      <c r="D59" s="458">
        <f>+'MAYOR Y BALANCE'!L196</f>
        <v>19000000</v>
      </c>
      <c r="E59" s="483">
        <v>34100000</v>
      </c>
      <c r="F59" s="468">
        <f t="shared" si="7"/>
        <v>-15100000</v>
      </c>
      <c r="G59" s="272">
        <f>+F59*100/F45</f>
        <v>7.3913362670553049</v>
      </c>
      <c r="H59" s="448"/>
    </row>
    <row r="60" spans="1:8" ht="15.75">
      <c r="A60" s="447"/>
      <c r="B60" s="469">
        <v>511190</v>
      </c>
      <c r="C60" s="466" t="s">
        <v>100</v>
      </c>
      <c r="D60" s="458">
        <f>+'MAYOR Y BALANCE'!L197</f>
        <v>42945980</v>
      </c>
      <c r="E60" s="483">
        <v>113625016</v>
      </c>
      <c r="F60" s="468">
        <f t="shared" si="7"/>
        <v>-70679036</v>
      </c>
      <c r="G60" s="272">
        <f>+F60*100/F45</f>
        <v>34.59685576869586</v>
      </c>
      <c r="H60" s="448"/>
    </row>
    <row r="61" spans="1:8">
      <c r="A61" s="447"/>
      <c r="B61" s="464">
        <v>5120</v>
      </c>
      <c r="C61" s="465" t="s">
        <v>101</v>
      </c>
      <c r="D61" s="456">
        <f>SUM(D62:D65)</f>
        <v>950284</v>
      </c>
      <c r="E61" s="478">
        <f t="shared" ref="E61:F61" si="8">SUM(E62:E65)</f>
        <v>1314552</v>
      </c>
      <c r="F61" s="479">
        <f t="shared" si="8"/>
        <v>-364268</v>
      </c>
      <c r="G61" s="278">
        <f>+F61*100/F20</f>
        <v>3.1698519765766438E-2</v>
      </c>
      <c r="H61" s="448"/>
    </row>
    <row r="62" spans="1:8" ht="15.75">
      <c r="A62" s="447"/>
      <c r="B62" s="469">
        <v>512011</v>
      </c>
      <c r="C62" s="466" t="s">
        <v>185</v>
      </c>
      <c r="D62" s="458">
        <f>+'MAYOR Y BALANCE'!L200</f>
        <v>670575</v>
      </c>
      <c r="E62" s="483">
        <v>526500</v>
      </c>
      <c r="F62" s="468">
        <f>+D62-E62</f>
        <v>144075</v>
      </c>
      <c r="G62" s="272">
        <f>+F62*100/F61</f>
        <v>-39.551923309211901</v>
      </c>
      <c r="H62" s="448"/>
    </row>
    <row r="63" spans="1:8" ht="15.75">
      <c r="A63" s="447"/>
      <c r="B63" s="469">
        <v>512017</v>
      </c>
      <c r="C63" s="466" t="s">
        <v>314</v>
      </c>
      <c r="D63" s="458">
        <f>+'MAYOR Y BALANCE'!L201</f>
        <v>0</v>
      </c>
      <c r="E63" s="483">
        <v>4000</v>
      </c>
      <c r="F63" s="468">
        <f>+D63-E63</f>
        <v>-4000</v>
      </c>
      <c r="G63" s="272">
        <f>+F63*100/F61</f>
        <v>1.0980926131309914</v>
      </c>
      <c r="H63" s="448"/>
    </row>
    <row r="64" spans="1:8" ht="15.75">
      <c r="A64" s="447"/>
      <c r="B64" s="469">
        <v>512024</v>
      </c>
      <c r="C64" s="466" t="s">
        <v>142</v>
      </c>
      <c r="D64" s="458">
        <f>+'MAYOR Y BALANCE'!L202</f>
        <v>279709</v>
      </c>
      <c r="E64" s="483">
        <v>784052</v>
      </c>
      <c r="F64" s="468">
        <f>+D64-E64</f>
        <v>-504343</v>
      </c>
      <c r="G64" s="272">
        <f>+F64*100/F61</f>
        <v>138.4538306960809</v>
      </c>
      <c r="H64" s="448"/>
    </row>
    <row r="65" spans="1:8" ht="15.75">
      <c r="A65" s="447"/>
      <c r="B65" s="469">
        <v>512090</v>
      </c>
      <c r="C65" s="466" t="s">
        <v>167</v>
      </c>
      <c r="D65" s="458">
        <v>0</v>
      </c>
      <c r="E65" s="483">
        <v>0</v>
      </c>
      <c r="F65" s="468">
        <f>+D65-E65</f>
        <v>0</v>
      </c>
      <c r="G65" s="272">
        <f>+F65*100/F61</f>
        <v>0</v>
      </c>
      <c r="H65" s="448"/>
    </row>
    <row r="66" spans="1:8">
      <c r="A66" s="447"/>
      <c r="B66" s="464">
        <v>53</v>
      </c>
      <c r="C66" s="465" t="s">
        <v>104</v>
      </c>
      <c r="D66" s="480">
        <f>D69+D67</f>
        <v>0</v>
      </c>
      <c r="E66" s="481">
        <f t="shared" ref="E66:F66" si="9">E69+E67</f>
        <v>0</v>
      </c>
      <c r="F66" s="482">
        <f t="shared" si="9"/>
        <v>0</v>
      </c>
      <c r="G66" s="277">
        <f>+F66*100/F19</f>
        <v>0</v>
      </c>
      <c r="H66" s="448"/>
    </row>
    <row r="67" spans="1:8">
      <c r="A67" s="447"/>
      <c r="B67" s="464">
        <v>5366</v>
      </c>
      <c r="C67" s="484" t="s">
        <v>195</v>
      </c>
      <c r="D67" s="456">
        <f>+D68</f>
        <v>0</v>
      </c>
      <c r="E67" s="478">
        <f>+E68</f>
        <v>0</v>
      </c>
      <c r="F67" s="479">
        <f>+F68</f>
        <v>0</v>
      </c>
      <c r="G67" s="278">
        <v>0</v>
      </c>
      <c r="H67" s="448"/>
    </row>
    <row r="68" spans="1:8" ht="15.75">
      <c r="A68" s="447"/>
      <c r="B68" s="469">
        <v>536690</v>
      </c>
      <c r="C68" s="485" t="s">
        <v>169</v>
      </c>
      <c r="D68" s="458">
        <v>0</v>
      </c>
      <c r="E68" s="483">
        <v>0</v>
      </c>
      <c r="F68" s="468">
        <f>+D68-E68</f>
        <v>0</v>
      </c>
      <c r="G68" s="272">
        <v>0</v>
      </c>
      <c r="H68" s="448"/>
    </row>
    <row r="69" spans="1:8">
      <c r="A69" s="447"/>
      <c r="B69" s="464">
        <v>5360</v>
      </c>
      <c r="C69" s="465" t="s">
        <v>105</v>
      </c>
      <c r="D69" s="456">
        <f>SUM(D70:D73)</f>
        <v>0</v>
      </c>
      <c r="E69" s="478">
        <f>SUM(E70:E73)</f>
        <v>0</v>
      </c>
      <c r="F69" s="479">
        <f>SUM(F70:F73)</f>
        <v>0</v>
      </c>
      <c r="G69" s="278">
        <v>0</v>
      </c>
      <c r="H69" s="448"/>
    </row>
    <row r="70" spans="1:8" ht="15.75">
      <c r="A70" s="447"/>
      <c r="B70" s="469">
        <v>536004</v>
      </c>
      <c r="C70" s="466" t="s">
        <v>106</v>
      </c>
      <c r="D70" s="458">
        <v>0</v>
      </c>
      <c r="E70" s="483">
        <v>0</v>
      </c>
      <c r="F70" s="468">
        <f t="shared" ref="F70:F73" si="10">+D70-E70</f>
        <v>0</v>
      </c>
      <c r="G70" s="272">
        <v>0</v>
      </c>
      <c r="H70" s="448"/>
    </row>
    <row r="71" spans="1:8" ht="15.75">
      <c r="A71" s="447"/>
      <c r="B71" s="469">
        <v>536006</v>
      </c>
      <c r="C71" s="466" t="s">
        <v>38</v>
      </c>
      <c r="D71" s="458">
        <v>0</v>
      </c>
      <c r="E71" s="483">
        <v>0</v>
      </c>
      <c r="F71" s="468">
        <f t="shared" si="10"/>
        <v>0</v>
      </c>
      <c r="G71" s="272">
        <v>0</v>
      </c>
      <c r="H71" s="448"/>
    </row>
    <row r="72" spans="1:8" ht="15.75">
      <c r="A72" s="447"/>
      <c r="B72" s="469">
        <v>536007</v>
      </c>
      <c r="C72" s="466" t="s">
        <v>41</v>
      </c>
      <c r="D72" s="458">
        <v>0</v>
      </c>
      <c r="E72" s="483">
        <v>0</v>
      </c>
      <c r="F72" s="468">
        <f t="shared" si="10"/>
        <v>0</v>
      </c>
      <c r="G72" s="272">
        <v>0</v>
      </c>
      <c r="H72" s="448"/>
    </row>
    <row r="73" spans="1:8" ht="15.75">
      <c r="A73" s="447"/>
      <c r="B73" s="469">
        <v>536008</v>
      </c>
      <c r="C73" s="466" t="s">
        <v>46</v>
      </c>
      <c r="D73" s="458">
        <v>0</v>
      </c>
      <c r="E73" s="483">
        <v>0</v>
      </c>
      <c r="F73" s="468">
        <f t="shared" si="10"/>
        <v>0</v>
      </c>
      <c r="G73" s="272">
        <v>0</v>
      </c>
      <c r="H73" s="448"/>
    </row>
    <row r="74" spans="1:8">
      <c r="A74" s="447"/>
      <c r="B74" s="459">
        <v>55</v>
      </c>
      <c r="C74" s="460" t="s">
        <v>107</v>
      </c>
      <c r="D74" s="480">
        <f t="shared" ref="D74:G74" si="11">D75</f>
        <v>0</v>
      </c>
      <c r="E74" s="481">
        <f t="shared" si="11"/>
        <v>0</v>
      </c>
      <c r="F74" s="482">
        <f t="shared" si="11"/>
        <v>0</v>
      </c>
      <c r="G74" s="277">
        <f t="shared" si="11"/>
        <v>0</v>
      </c>
      <c r="H74" s="448"/>
    </row>
    <row r="75" spans="1:8">
      <c r="A75" s="447"/>
      <c r="B75" s="464">
        <v>5503</v>
      </c>
      <c r="C75" s="465" t="s">
        <v>108</v>
      </c>
      <c r="D75" s="456">
        <f>D76</f>
        <v>0</v>
      </c>
      <c r="E75" s="478">
        <f>E76</f>
        <v>0</v>
      </c>
      <c r="F75" s="479">
        <f>F76</f>
        <v>0</v>
      </c>
      <c r="G75" s="278">
        <f>G76</f>
        <v>0</v>
      </c>
      <c r="H75" s="448"/>
    </row>
    <row r="76" spans="1:8" ht="15.75">
      <c r="A76" s="447"/>
      <c r="B76" s="486">
        <v>550306</v>
      </c>
      <c r="C76" s="487" t="s">
        <v>109</v>
      </c>
      <c r="D76" s="458">
        <v>0</v>
      </c>
      <c r="E76" s="483">
        <f>'[1]MAYOR Y BALANCE'!L203</f>
        <v>0</v>
      </c>
      <c r="F76" s="468">
        <f>+D76-E76</f>
        <v>0</v>
      </c>
      <c r="G76" s="272">
        <f>+F76*100/F87</f>
        <v>0</v>
      </c>
      <c r="H76" s="448"/>
    </row>
    <row r="77" spans="1:8">
      <c r="A77" s="447"/>
      <c r="B77" s="459">
        <v>58</v>
      </c>
      <c r="C77" s="460" t="s">
        <v>283</v>
      </c>
      <c r="D77" s="456">
        <f>+D78+D80</f>
        <v>15969991</v>
      </c>
      <c r="E77" s="478">
        <f t="shared" ref="E77:F77" si="12">+E78+E80</f>
        <v>372488</v>
      </c>
      <c r="F77" s="463">
        <f t="shared" si="12"/>
        <v>15597503</v>
      </c>
      <c r="G77" s="279">
        <f>+F77*100/F19</f>
        <v>-1.3759670978685925</v>
      </c>
      <c r="H77" s="448"/>
    </row>
    <row r="78" spans="1:8">
      <c r="A78" s="447"/>
      <c r="B78" s="488">
        <v>5804</v>
      </c>
      <c r="C78" s="489" t="s">
        <v>329</v>
      </c>
      <c r="D78" s="456">
        <f>+D79</f>
        <v>0</v>
      </c>
      <c r="E78" s="456">
        <f t="shared" ref="E78:F78" si="13">+E79</f>
        <v>9488</v>
      </c>
      <c r="F78" s="456">
        <f t="shared" si="13"/>
        <v>-9488</v>
      </c>
      <c r="G78" s="510">
        <f>+G79</f>
        <v>100</v>
      </c>
      <c r="H78" s="448"/>
    </row>
    <row r="79" spans="1:8" ht="15.75">
      <c r="A79" s="447"/>
      <c r="B79" s="486">
        <v>580490</v>
      </c>
      <c r="C79" s="487" t="s">
        <v>328</v>
      </c>
      <c r="D79" s="458">
        <f>+'MAYOR Y BALANCE'!L225</f>
        <v>0</v>
      </c>
      <c r="E79" s="458">
        <v>9488</v>
      </c>
      <c r="F79" s="458">
        <f>+D79-E79</f>
        <v>-9488</v>
      </c>
      <c r="G79" s="272">
        <f>+F79*100/F78</f>
        <v>100</v>
      </c>
      <c r="H79" s="448"/>
    </row>
    <row r="80" spans="1:8">
      <c r="A80" s="447"/>
      <c r="B80" s="488">
        <v>5890</v>
      </c>
      <c r="C80" s="489" t="s">
        <v>250</v>
      </c>
      <c r="D80" s="456">
        <f>SUM(D81:D82)</f>
        <v>15969991</v>
      </c>
      <c r="E80" s="456">
        <f>SUM(E81:E82)</f>
        <v>363000</v>
      </c>
      <c r="F80" s="456">
        <f>SUM(F81:F82)</f>
        <v>15606991</v>
      </c>
      <c r="G80" s="456">
        <f>SUM(G81:G82)</f>
        <v>100</v>
      </c>
      <c r="H80" s="448"/>
    </row>
    <row r="81" spans="1:8" ht="15.75">
      <c r="A81" s="447"/>
      <c r="B81" s="469">
        <v>589012</v>
      </c>
      <c r="C81" s="466" t="s">
        <v>335</v>
      </c>
      <c r="D81" s="458">
        <f>+'MAYOR Y BALANCE'!L227</f>
        <v>15969991</v>
      </c>
      <c r="E81" s="483">
        <f>'[1]MAYOR Y BALANCE'!L183</f>
        <v>0</v>
      </c>
      <c r="F81" s="468">
        <f>+D81-E81</f>
        <v>15969991</v>
      </c>
      <c r="G81" s="272">
        <f>+F81*100/F80</f>
        <v>102.32588075433631</v>
      </c>
      <c r="H81" s="448"/>
    </row>
    <row r="82" spans="1:8" ht="15.75">
      <c r="A82" s="447"/>
      <c r="B82" s="469">
        <v>589025</v>
      </c>
      <c r="C82" s="466" t="s">
        <v>288</v>
      </c>
      <c r="D82" s="458">
        <f>+'MAYOR Y BALANCE'!L228</f>
        <v>0</v>
      </c>
      <c r="E82" s="483">
        <v>363000</v>
      </c>
      <c r="F82" s="468">
        <f>+D82-E82</f>
        <v>-363000</v>
      </c>
      <c r="G82" s="272">
        <f>+F82*100/F80</f>
        <v>-2.32588075433631</v>
      </c>
      <c r="H82" s="448"/>
    </row>
    <row r="83" spans="1:8">
      <c r="A83" s="447"/>
      <c r="B83" s="612" t="s">
        <v>230</v>
      </c>
      <c r="C83" s="613"/>
      <c r="D83" s="490">
        <f>+D9-D19</f>
        <v>-1060842495</v>
      </c>
      <c r="E83" s="491">
        <f>+E9-E19</f>
        <v>705491772.59000015</v>
      </c>
      <c r="F83" s="492">
        <f>+F9-F19</f>
        <v>-1766334267.5899999</v>
      </c>
      <c r="G83" s="280">
        <f>+G9-G19</f>
        <v>0</v>
      </c>
      <c r="H83" s="448"/>
    </row>
    <row r="84" spans="1:8" ht="15.75">
      <c r="A84" s="447"/>
      <c r="B84" s="449"/>
      <c r="C84" s="212"/>
      <c r="D84" s="458"/>
      <c r="E84" s="457"/>
      <c r="F84" s="487"/>
      <c r="G84" s="281"/>
      <c r="H84" s="448"/>
    </row>
    <row r="85" spans="1:8">
      <c r="A85" s="447"/>
      <c r="B85" s="612" t="s">
        <v>232</v>
      </c>
      <c r="C85" s="613"/>
      <c r="D85" s="490">
        <f>+D83</f>
        <v>-1060842495</v>
      </c>
      <c r="E85" s="491">
        <f t="shared" ref="E85:F85" si="14">+E83</f>
        <v>705491772.59000015</v>
      </c>
      <c r="F85" s="492">
        <f t="shared" si="14"/>
        <v>-1766334267.5899999</v>
      </c>
      <c r="G85" s="280">
        <f>+G83</f>
        <v>0</v>
      </c>
      <c r="H85" s="448"/>
    </row>
    <row r="86" spans="1:8">
      <c r="A86" s="447"/>
      <c r="B86" s="493"/>
      <c r="C86" s="494"/>
      <c r="D86" s="490"/>
      <c r="E86" s="491"/>
      <c r="F86" s="492"/>
      <c r="G86" s="280"/>
      <c r="H86" s="448"/>
    </row>
    <row r="87" spans="1:8" ht="15.75" thickBot="1">
      <c r="A87" s="495"/>
      <c r="B87" s="614" t="s">
        <v>230</v>
      </c>
      <c r="C87" s="615"/>
      <c r="D87" s="496">
        <f>+D85</f>
        <v>-1060842495</v>
      </c>
      <c r="E87" s="497">
        <f t="shared" ref="E87:F87" si="15">+E85</f>
        <v>705491772.59000015</v>
      </c>
      <c r="F87" s="498">
        <f t="shared" si="15"/>
        <v>-1766334267.5899999</v>
      </c>
      <c r="G87" s="443">
        <f>+G85</f>
        <v>0</v>
      </c>
      <c r="H87" s="499"/>
    </row>
    <row r="88" spans="1:8" ht="15.75">
      <c r="A88" s="511"/>
      <c r="B88" s="282"/>
      <c r="C88" s="282"/>
      <c r="D88" s="282"/>
      <c r="E88" s="282"/>
      <c r="F88" s="282"/>
      <c r="G88" s="283"/>
      <c r="H88" s="511"/>
    </row>
    <row r="89" spans="1:8" ht="15.75">
      <c r="B89" s="1"/>
      <c r="C89" s="1"/>
      <c r="D89" s="1"/>
      <c r="E89" s="180"/>
      <c r="F89" s="1"/>
      <c r="G89" s="291"/>
    </row>
    <row r="90" spans="1:8" ht="15.75">
      <c r="B90" s="1"/>
      <c r="D90" s="182" t="s">
        <v>348</v>
      </c>
      <c r="E90" s="196"/>
      <c r="F90" s="196"/>
      <c r="G90" s="291"/>
    </row>
    <row r="91" spans="1:8" ht="15.75">
      <c r="B91" s="1"/>
      <c r="D91" s="196" t="s">
        <v>344</v>
      </c>
      <c r="E91" s="196"/>
      <c r="F91" s="196"/>
      <c r="G91" s="291"/>
    </row>
    <row r="92" spans="1:8" ht="15.75">
      <c r="B92" s="1"/>
      <c r="D92" s="196" t="s">
        <v>61</v>
      </c>
      <c r="E92" s="196"/>
      <c r="F92" s="196"/>
      <c r="G92" s="291"/>
    </row>
    <row r="93" spans="1:8" ht="15.75">
      <c r="B93" s="1"/>
      <c r="D93" s="196"/>
      <c r="E93" s="196"/>
      <c r="F93" s="196"/>
      <c r="G93" s="291"/>
    </row>
    <row r="94" spans="1:8" ht="15.75">
      <c r="B94" s="1"/>
      <c r="C94" s="1"/>
      <c r="D94" s="1"/>
      <c r="E94" s="1"/>
      <c r="F94" s="1"/>
      <c r="G94" s="291"/>
    </row>
    <row r="95" spans="1:8" ht="15.75">
      <c r="C95" s="196" t="s">
        <v>257</v>
      </c>
      <c r="D95" s="1"/>
      <c r="E95" s="185" t="s">
        <v>224</v>
      </c>
      <c r="F95" s="185"/>
      <c r="G95" s="291"/>
    </row>
    <row r="96" spans="1:8" ht="15.75">
      <c r="C96" s="196" t="s">
        <v>313</v>
      </c>
      <c r="D96" s="1"/>
      <c r="E96" s="185" t="s">
        <v>221</v>
      </c>
      <c r="F96" s="185"/>
      <c r="G96" s="291"/>
    </row>
    <row r="97" spans="2:7" ht="15.75">
      <c r="C97" s="196" t="s">
        <v>258</v>
      </c>
      <c r="D97" s="1"/>
      <c r="E97" s="196" t="s">
        <v>222</v>
      </c>
      <c r="F97" s="196"/>
      <c r="G97" s="291"/>
    </row>
    <row r="98" spans="2:7" ht="15.75">
      <c r="B98" s="1"/>
      <c r="C98" s="1"/>
      <c r="D98" s="1"/>
      <c r="E98" s="1"/>
      <c r="F98" s="1"/>
      <c r="G98" s="291"/>
    </row>
    <row r="99" spans="2:7" ht="15.75">
      <c r="B99" s="1"/>
      <c r="C99" s="1"/>
      <c r="D99" s="1"/>
      <c r="E99" s="1"/>
      <c r="F99" s="1"/>
      <c r="G99" s="291"/>
    </row>
  </sheetData>
  <mergeCells count="9">
    <mergeCell ref="B85:C85"/>
    <mergeCell ref="B87:C87"/>
    <mergeCell ref="B2:G2"/>
    <mergeCell ref="B3:G3"/>
    <mergeCell ref="B4:G4"/>
    <mergeCell ref="B5:G5"/>
    <mergeCell ref="B9:C9"/>
    <mergeCell ref="B83:C83"/>
    <mergeCell ref="D6:E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"/>
  <sheetViews>
    <sheetView topLeftCell="A15" workbookViewId="0">
      <selection activeCell="A33" sqref="A33"/>
    </sheetView>
  </sheetViews>
  <sheetFormatPr baseColWidth="10" defaultColWidth="11.42578125" defaultRowHeight="14.25"/>
  <cols>
    <col min="1" max="1" width="38.5703125" style="242" customWidth="1"/>
    <col min="2" max="2" width="16.140625" style="212" customWidth="1"/>
    <col min="3" max="3" width="13.7109375" style="212" customWidth="1"/>
    <col min="4" max="4" width="14.28515625" style="212" customWidth="1"/>
    <col min="5" max="5" width="6.140625" style="212" customWidth="1"/>
    <col min="6" max="6" width="14.28515625" style="1" bestFit="1" customWidth="1"/>
    <col min="7" max="16384" width="11.42578125" style="1"/>
  </cols>
  <sheetData>
    <row r="1" spans="1:6" ht="15" thickBot="1"/>
    <row r="2" spans="1:6">
      <c r="A2" s="632" t="s">
        <v>112</v>
      </c>
      <c r="B2" s="633"/>
      <c r="C2" s="633"/>
      <c r="D2" s="634"/>
    </row>
    <row r="3" spans="1:6">
      <c r="A3" s="637" t="s">
        <v>1</v>
      </c>
      <c r="B3" s="638"/>
      <c r="C3" s="638"/>
      <c r="D3" s="639"/>
    </row>
    <row r="4" spans="1:6">
      <c r="A4" s="637" t="s">
        <v>202</v>
      </c>
      <c r="B4" s="638"/>
      <c r="C4" s="638"/>
      <c r="D4" s="639"/>
    </row>
    <row r="5" spans="1:6">
      <c r="A5" s="637" t="s">
        <v>339</v>
      </c>
      <c r="B5" s="638"/>
      <c r="C5" s="638"/>
      <c r="D5" s="639"/>
    </row>
    <row r="6" spans="1:6" ht="13.5" customHeight="1">
      <c r="A6" s="635"/>
      <c r="B6" s="636"/>
      <c r="C6" s="636"/>
      <c r="D6" s="213"/>
    </row>
    <row r="7" spans="1:6">
      <c r="A7" s="635" t="s">
        <v>303</v>
      </c>
      <c r="B7" s="636"/>
      <c r="C7" s="636"/>
      <c r="D7" s="214">
        <f>'MAYOR Y BALANCE'!C121</f>
        <v>11637136953.121111</v>
      </c>
    </row>
    <row r="8" spans="1:6" ht="15" thickBot="1">
      <c r="A8" s="635" t="s">
        <v>342</v>
      </c>
      <c r="B8" s="636"/>
      <c r="C8" s="636"/>
      <c r="D8" s="215">
        <f>+D13+C19</f>
        <v>-1060842494.8788891</v>
      </c>
    </row>
    <row r="9" spans="1:6" ht="15" thickBot="1">
      <c r="A9" s="635" t="s">
        <v>343</v>
      </c>
      <c r="B9" s="636"/>
      <c r="C9" s="636"/>
      <c r="D9" s="216">
        <f>+D7+D8</f>
        <v>10576294458.242222</v>
      </c>
      <c r="F9" s="180"/>
    </row>
    <row r="10" spans="1:6" ht="15" thickTop="1">
      <c r="A10" s="243"/>
      <c r="D10" s="213"/>
    </row>
    <row r="11" spans="1:6">
      <c r="A11" s="244" t="s">
        <v>144</v>
      </c>
      <c r="B11" s="217">
        <v>2021</v>
      </c>
      <c r="C11" s="218">
        <v>2022</v>
      </c>
      <c r="D11" s="219" t="s">
        <v>145</v>
      </c>
      <c r="F11" s="180"/>
    </row>
    <row r="12" spans="1:6">
      <c r="A12" s="243"/>
      <c r="D12" s="213"/>
    </row>
    <row r="13" spans="1:6">
      <c r="A13" s="244" t="s">
        <v>203</v>
      </c>
      <c r="D13" s="220">
        <f>D14-D15</f>
        <v>-1140702970.8788891</v>
      </c>
    </row>
    <row r="14" spans="1:6">
      <c r="A14" s="243" t="s">
        <v>55</v>
      </c>
      <c r="B14" s="221">
        <f>+'MAYOR Y BALANCE'!C129</f>
        <v>705491772.59000015</v>
      </c>
      <c r="C14" s="222">
        <f>'ESTADO RESULTADO'!D105</f>
        <v>-1060842495</v>
      </c>
      <c r="D14" s="214">
        <f>B14+C14</f>
        <v>-355350722.40999985</v>
      </c>
      <c r="F14" s="294"/>
    </row>
    <row r="15" spans="1:6">
      <c r="A15" s="243" t="s">
        <v>155</v>
      </c>
      <c r="B15" s="223">
        <f>'MAYOR Y BALANCE'!C128</f>
        <v>10719290204.531111</v>
      </c>
      <c r="C15" s="223">
        <f>+'BALANCE GENERAL'!H53</f>
        <v>11504642453</v>
      </c>
      <c r="D15" s="214">
        <f>C15-B15</f>
        <v>785352248.46888924</v>
      </c>
    </row>
    <row r="16" spans="1:6">
      <c r="A16" s="243"/>
      <c r="D16" s="213"/>
    </row>
    <row r="17" spans="1:5">
      <c r="A17" s="244" t="s">
        <v>146</v>
      </c>
      <c r="D17" s="213"/>
    </row>
    <row r="18" spans="1:5">
      <c r="A18" s="243" t="s">
        <v>49</v>
      </c>
      <c r="B18" s="223">
        <v>132494500</v>
      </c>
      <c r="C18" s="223">
        <f>+B18</f>
        <v>132494500</v>
      </c>
      <c r="D18" s="213"/>
    </row>
    <row r="19" spans="1:5" ht="15" thickBot="1">
      <c r="A19" s="245" t="s">
        <v>56</v>
      </c>
      <c r="B19" s="224">
        <v>79860476</v>
      </c>
      <c r="C19" s="224">
        <v>79860476</v>
      </c>
      <c r="D19" s="225"/>
    </row>
    <row r="23" spans="1:5" ht="13.5">
      <c r="A23" s="246"/>
      <c r="B23" s="226"/>
      <c r="C23" s="226"/>
      <c r="D23" s="226"/>
      <c r="E23" s="226"/>
    </row>
    <row r="24" spans="1:5" ht="13.5">
      <c r="A24" s="246"/>
      <c r="B24" s="182" t="s">
        <v>348</v>
      </c>
      <c r="C24" s="226"/>
      <c r="D24" s="226"/>
      <c r="E24" s="226"/>
    </row>
    <row r="25" spans="1:5" ht="13.5">
      <c r="A25" s="246"/>
      <c r="B25" s="226" t="s">
        <v>60</v>
      </c>
      <c r="C25" s="226"/>
      <c r="D25" s="226"/>
      <c r="E25" s="226"/>
    </row>
    <row r="26" spans="1:5">
      <c r="B26" s="226" t="s">
        <v>61</v>
      </c>
    </row>
    <row r="29" spans="1:5">
      <c r="A29" s="246" t="s">
        <v>257</v>
      </c>
      <c r="C29" s="226" t="s">
        <v>224</v>
      </c>
      <c r="D29" s="226"/>
    </row>
    <row r="30" spans="1:5">
      <c r="A30" s="246" t="s">
        <v>147</v>
      </c>
      <c r="C30" s="226" t="s">
        <v>225</v>
      </c>
      <c r="D30" s="226"/>
    </row>
    <row r="31" spans="1:5">
      <c r="A31" s="246" t="s">
        <v>258</v>
      </c>
      <c r="C31" s="226" t="s">
        <v>222</v>
      </c>
      <c r="D31" s="226"/>
    </row>
    <row r="37" ht="17.25" customHeight="1"/>
  </sheetData>
  <mergeCells count="8">
    <mergeCell ref="A2:D2"/>
    <mergeCell ref="A9:C9"/>
    <mergeCell ref="A3:D3"/>
    <mergeCell ref="A4:D4"/>
    <mergeCell ref="A5:D5"/>
    <mergeCell ref="A7:C7"/>
    <mergeCell ref="A8:C8"/>
    <mergeCell ref="A6:C6"/>
  </mergeCells>
  <printOptions horizontalCentered="1"/>
  <pageMargins left="1.37795275590551" right="0.23622047244094499" top="1.37795275590551" bottom="0.35433070866141703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BALANCE GENERAL</vt:lpstr>
      <vt:lpstr>BALANCE COMPARATIVO</vt:lpstr>
      <vt:lpstr>MAYOR Y BALANCE</vt:lpstr>
      <vt:lpstr>ESTADO RESULTADO</vt:lpstr>
      <vt:lpstr>ESTADO DE RESULTADO COMPARATIVO</vt:lpstr>
      <vt:lpstr>CAMBIO PATRIMONIO</vt:lpstr>
      <vt:lpstr>'BALANCE GENERAL'!Área_de_impresión</vt:lpstr>
      <vt:lpstr>'CAMBIO PATRIMONIO'!Área_de_impresión</vt:lpstr>
      <vt:lpstr>'ESTADO RESULTADO'!Área_de_impresión</vt:lpstr>
      <vt:lpstr>'MAYOR Y BALANCE'!Área_de_impresión</vt:lpstr>
      <vt:lpstr>'BALANCE GENERAL'!Títulos_a_imprimir</vt:lpstr>
      <vt:lpstr>'ESTADO RESULTADO'!Títulos_a_imprimir</vt:lpstr>
      <vt:lpstr>'MAYOR Y BALANCE'!Títulos_a_imprimir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Carlos Palacios Mosquera</cp:lastModifiedBy>
  <cp:lastPrinted>2022-08-14T15:35:53Z</cp:lastPrinted>
  <dcterms:created xsi:type="dcterms:W3CDTF">2015-01-17T20:11:42Z</dcterms:created>
  <dcterms:modified xsi:type="dcterms:W3CDTF">2022-07-31T14:30:44Z</dcterms:modified>
</cp:coreProperties>
</file>