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DA AGUAS DEL CHOCÓ\ESTADOS FINANCIEROS PDA\ESTADOS FINANCIEROS DE ENENRO A DICIEMBRE PUBLICADO EL 15 DE FEBRERO DE 2023\"/>
    </mc:Choice>
  </mc:AlternateContent>
  <xr:revisionPtr revIDLastSave="0" documentId="13_ncr:1_{626AB01E-B9AE-426D-B8E1-E853C0D811B5}" xr6:coauthVersionLast="47" xr6:coauthVersionMax="47" xr10:uidLastSave="{00000000-0000-0000-0000-000000000000}"/>
  <bookViews>
    <workbookView xWindow="-120" yWindow="-120" windowWidth="20730" windowHeight="11160" tabRatio="871" firstSheet="1" activeTab="5" xr2:uid="{00000000-000D-0000-FFFF-FFFF00000000}"/>
  </bookViews>
  <sheets>
    <sheet name="BALANCE GENERAL" sheetId="1" r:id="rId1"/>
    <sheet name="BALANCE COMPARATIVO" sheetId="17" r:id="rId2"/>
    <sheet name="MAYOR Y BALANCE" sheetId="16" r:id="rId3"/>
    <sheet name="ESTADO RESULTADO" sheetId="2" r:id="rId4"/>
    <sheet name="ESTADO DE RESULTADO COMPARATIVO" sheetId="18" r:id="rId5"/>
    <sheet name="CAMBIO PATRIMONIO" sheetId="9" r:id="rId6"/>
  </sheets>
  <externalReferences>
    <externalReference r:id="rId7"/>
  </externalReferences>
  <definedNames>
    <definedName name="_xlnm.Print_Area" localSheetId="0">'BALANCE GENERAL'!$B$1:$H$62</definedName>
    <definedName name="_xlnm.Print_Area" localSheetId="5">'CAMBIO PATRIMONIO'!$A$2:$D$37</definedName>
    <definedName name="_xlnm.Print_Area" localSheetId="3">'ESTADO RESULTADO'!$A$1:$E$86</definedName>
    <definedName name="_xlnm.Print_Area" localSheetId="2">'MAYOR Y BALANCE'!$C$1:$O$246</definedName>
    <definedName name="_xlnm.Print_Titles" localSheetId="0">'BALANCE GENERAL'!$1:$5</definedName>
    <definedName name="_xlnm.Print_Titles" localSheetId="3">'ESTADO RESULTADO'!$1:$4</definedName>
    <definedName name="_xlnm.Print_Titles" localSheetId="2">'MAYOR Y BALANCE'!$1:$7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7" l="1"/>
  <c r="C17" i="9" s="1"/>
  <c r="D17" i="9" s="1"/>
  <c r="D16" i="9" s="1"/>
  <c r="F71" i="18"/>
  <c r="E70" i="18"/>
  <c r="E69" i="18" s="1"/>
  <c r="D70" i="18"/>
  <c r="D69" i="18" s="1"/>
  <c r="F50" i="18"/>
  <c r="E47" i="18"/>
  <c r="D74" i="2"/>
  <c r="D73" i="2" s="1"/>
  <c r="E12" i="17"/>
  <c r="D12" i="17"/>
  <c r="H40" i="1"/>
  <c r="H20" i="1"/>
  <c r="D9" i="1"/>
  <c r="D23" i="1"/>
  <c r="K36" i="17"/>
  <c r="J36" i="17"/>
  <c r="M29" i="16"/>
  <c r="I29" i="16"/>
  <c r="I142" i="16"/>
  <c r="F70" i="18" l="1"/>
  <c r="E14" i="18"/>
  <c r="L76" i="16"/>
  <c r="L75" i="16"/>
  <c r="L74" i="16"/>
  <c r="O74" i="16" s="1"/>
  <c r="H15" i="1" s="1"/>
  <c r="L72" i="16"/>
  <c r="L71" i="16"/>
  <c r="M88" i="16"/>
  <c r="F69" i="18" l="1"/>
  <c r="G70" i="18" s="1"/>
  <c r="G71" i="18"/>
  <c r="K88" i="16"/>
  <c r="K29" i="16"/>
  <c r="F29" i="16" l="1"/>
  <c r="G144" i="16"/>
  <c r="L18" i="16" l="1"/>
  <c r="N82" i="16" l="1"/>
  <c r="N79" i="16" s="1"/>
  <c r="M82" i="16"/>
  <c r="M79" i="16" s="1"/>
  <c r="L82" i="16"/>
  <c r="L79" i="16" s="1"/>
  <c r="K82" i="16"/>
  <c r="K79" i="16" s="1"/>
  <c r="J82" i="16"/>
  <c r="J79" i="16" s="1"/>
  <c r="H82" i="16"/>
  <c r="H79" i="16" s="1"/>
  <c r="G82" i="16"/>
  <c r="F82" i="16"/>
  <c r="E82" i="16"/>
  <c r="E79" i="16" s="1"/>
  <c r="J18" i="16"/>
  <c r="O141" i="16"/>
  <c r="O140" i="16"/>
  <c r="N138" i="16"/>
  <c r="M138" i="16"/>
  <c r="L138" i="16"/>
  <c r="K138" i="16"/>
  <c r="J138" i="16"/>
  <c r="I138" i="16"/>
  <c r="H138" i="16"/>
  <c r="G138" i="16"/>
  <c r="F138" i="16"/>
  <c r="E138" i="16"/>
  <c r="N142" i="16"/>
  <c r="M142" i="16"/>
  <c r="L142" i="16"/>
  <c r="K142" i="16"/>
  <c r="J142" i="16"/>
  <c r="H142" i="16"/>
  <c r="F142" i="16"/>
  <c r="E142" i="16"/>
  <c r="O31" i="16"/>
  <c r="M31" i="16"/>
  <c r="L31" i="16"/>
  <c r="K31" i="16"/>
  <c r="J31" i="16"/>
  <c r="I31" i="16"/>
  <c r="H31" i="16"/>
  <c r="E31" i="16"/>
  <c r="N32" i="16"/>
  <c r="N67" i="16"/>
  <c r="M67" i="16"/>
  <c r="L67" i="16"/>
  <c r="K67" i="16"/>
  <c r="J67" i="16"/>
  <c r="I67" i="16"/>
  <c r="H67" i="16"/>
  <c r="G67" i="16"/>
  <c r="F67" i="16"/>
  <c r="E67" i="16"/>
  <c r="G31" i="16"/>
  <c r="F31" i="16"/>
  <c r="D45" i="18"/>
  <c r="D16" i="18" l="1"/>
  <c r="D24" i="2"/>
  <c r="D17" i="18"/>
  <c r="D25" i="2"/>
  <c r="O138" i="16"/>
  <c r="E27" i="18"/>
  <c r="G142" i="16"/>
  <c r="H29" i="16"/>
  <c r="I174" i="16"/>
  <c r="J174" i="16"/>
  <c r="K174" i="16"/>
  <c r="L174" i="16"/>
  <c r="M174" i="16"/>
  <c r="O174" i="16"/>
  <c r="H186" i="16"/>
  <c r="I92" i="16"/>
  <c r="H92" i="16"/>
  <c r="H75" i="16"/>
  <c r="I88" i="16"/>
  <c r="O225" i="16"/>
  <c r="M225" i="16"/>
  <c r="L225" i="16"/>
  <c r="K225" i="16"/>
  <c r="J225" i="16"/>
  <c r="I225" i="16"/>
  <c r="H225" i="16"/>
  <c r="G225" i="16"/>
  <c r="F225" i="16"/>
  <c r="E225" i="16"/>
  <c r="N226" i="16"/>
  <c r="D67" i="18" s="1"/>
  <c r="I82" i="16" l="1"/>
  <c r="I79" i="16" s="1"/>
  <c r="O88" i="16"/>
  <c r="D71" i="2"/>
  <c r="F201" i="16"/>
  <c r="G81" i="16"/>
  <c r="G79" i="16" s="1"/>
  <c r="F81" i="16"/>
  <c r="F79" i="16" s="1"/>
  <c r="O156" i="16"/>
  <c r="M156" i="16"/>
  <c r="L156" i="16"/>
  <c r="K156" i="16"/>
  <c r="J156" i="16"/>
  <c r="I156" i="16"/>
  <c r="H156" i="16"/>
  <c r="G156" i="16"/>
  <c r="F156" i="16"/>
  <c r="E156" i="16"/>
  <c r="N157" i="16"/>
  <c r="O108" i="16"/>
  <c r="D28" i="18" l="1"/>
  <c r="F28" i="18" s="1"/>
  <c r="D37" i="2"/>
  <c r="E64" i="18"/>
  <c r="N224" i="16" l="1"/>
  <c r="N223" i="16" s="1"/>
  <c r="O223" i="16"/>
  <c r="M223" i="16"/>
  <c r="L223" i="16"/>
  <c r="K223" i="16"/>
  <c r="J223" i="16"/>
  <c r="I223" i="16"/>
  <c r="H223" i="16"/>
  <c r="G223" i="16"/>
  <c r="F223" i="16"/>
  <c r="E223" i="16"/>
  <c r="D65" i="18" l="1"/>
  <c r="F65" i="18" s="1"/>
  <c r="O132" i="16"/>
  <c r="O131" i="16" s="1"/>
  <c r="O130" i="16" s="1"/>
  <c r="N131" i="16"/>
  <c r="N130" i="16" s="1"/>
  <c r="M131" i="16"/>
  <c r="L131" i="16"/>
  <c r="L130" i="16" s="1"/>
  <c r="K131" i="16"/>
  <c r="K130" i="16" s="1"/>
  <c r="J131" i="16"/>
  <c r="J130" i="16" s="1"/>
  <c r="I131" i="16"/>
  <c r="I130" i="16" s="1"/>
  <c r="H131" i="16"/>
  <c r="H130" i="16" s="1"/>
  <c r="G131" i="16"/>
  <c r="G130" i="16" s="1"/>
  <c r="F131" i="16"/>
  <c r="F130" i="16" s="1"/>
  <c r="M130" i="16"/>
  <c r="E131" i="16"/>
  <c r="E130" i="16" s="1"/>
  <c r="D11" i="18"/>
  <c r="D10" i="18" s="1"/>
  <c r="E67" i="18"/>
  <c r="O126" i="16"/>
  <c r="J10" i="17"/>
  <c r="D15" i="17"/>
  <c r="D14" i="17" s="1"/>
  <c r="F11" i="17"/>
  <c r="J21" i="17" l="1"/>
  <c r="E66" i="18"/>
  <c r="E63" i="18" s="1"/>
  <c r="D64" i="18"/>
  <c r="D32" i="17"/>
  <c r="E34" i="18"/>
  <c r="E44" i="18"/>
  <c r="E30" i="18"/>
  <c r="F12" i="18"/>
  <c r="F11" i="18" s="1"/>
  <c r="F10" i="18" s="1"/>
  <c r="E37" i="18"/>
  <c r="E59" i="18"/>
  <c r="F64" i="18"/>
  <c r="G65" i="18" s="1"/>
  <c r="E18" i="18"/>
  <c r="F19" i="18"/>
  <c r="F45" i="18"/>
  <c r="D10" i="2"/>
  <c r="D9" i="2" s="1"/>
  <c r="D8" i="2" s="1"/>
  <c r="J23" i="17"/>
  <c r="D18" i="17"/>
  <c r="J12" i="17"/>
  <c r="E11" i="18"/>
  <c r="E10" i="18" s="1"/>
  <c r="E23" i="18"/>
  <c r="D9" i="17"/>
  <c r="J27" i="17"/>
  <c r="J26" i="17" s="1"/>
  <c r="D24" i="17"/>
  <c r="D26" i="17"/>
  <c r="D35" i="17"/>
  <c r="J9" i="17" l="1"/>
  <c r="J8" i="17" s="1"/>
  <c r="J7" i="17" s="1"/>
  <c r="J33" i="17" s="1"/>
  <c r="D31" i="17"/>
  <c r="E13" i="18"/>
  <c r="E9" i="18" s="1"/>
  <c r="E22" i="18"/>
  <c r="E21" i="18" s="1"/>
  <c r="E8" i="18" l="1"/>
  <c r="N176" i="16" l="1"/>
  <c r="N174" i="16" s="1"/>
  <c r="N195" i="16"/>
  <c r="D57" i="18" s="1"/>
  <c r="F57" i="18" s="1"/>
  <c r="J166" i="16"/>
  <c r="J163" i="16"/>
  <c r="J159" i="16"/>
  <c r="K147" i="16"/>
  <c r="J147" i="16"/>
  <c r="K134" i="16"/>
  <c r="K133" i="16" s="1"/>
  <c r="J134" i="16"/>
  <c r="J133" i="16" s="1"/>
  <c r="K124" i="16"/>
  <c r="J124" i="16"/>
  <c r="K120" i="16"/>
  <c r="J120" i="16"/>
  <c r="K100" i="16"/>
  <c r="K99" i="16" s="1"/>
  <c r="J100" i="16"/>
  <c r="J99" i="16" s="1"/>
  <c r="K91" i="16"/>
  <c r="J91" i="16"/>
  <c r="J70" i="16"/>
  <c r="J38" i="16"/>
  <c r="D46" i="18" l="1"/>
  <c r="F46" i="18" s="1"/>
  <c r="F44" i="18" s="1"/>
  <c r="N42" i="16"/>
  <c r="M41" i="16"/>
  <c r="L41" i="16"/>
  <c r="K41" i="16"/>
  <c r="J41" i="16"/>
  <c r="I41" i="16"/>
  <c r="H41" i="16"/>
  <c r="G41" i="16"/>
  <c r="F41" i="16"/>
  <c r="D44" i="18" l="1"/>
  <c r="G46" i="18"/>
  <c r="O128" i="16"/>
  <c r="O123" i="16"/>
  <c r="O122" i="16"/>
  <c r="O121" i="16"/>
  <c r="F22" i="17" l="1"/>
  <c r="L37" i="17"/>
  <c r="G45" i="18"/>
  <c r="L36" i="17" l="1"/>
  <c r="C14" i="9"/>
  <c r="O177" i="16"/>
  <c r="M177" i="16"/>
  <c r="K177" i="16"/>
  <c r="I177" i="16"/>
  <c r="G177" i="16"/>
  <c r="E177" i="16"/>
  <c r="N192" i="16"/>
  <c r="O166" i="16"/>
  <c r="M166" i="16"/>
  <c r="L166" i="16"/>
  <c r="K166" i="16"/>
  <c r="I166" i="16"/>
  <c r="H166" i="16"/>
  <c r="G166" i="16"/>
  <c r="F166" i="16"/>
  <c r="E166" i="16"/>
  <c r="N173" i="16"/>
  <c r="N172" i="16"/>
  <c r="J38" i="17" l="1"/>
  <c r="O125" i="16"/>
  <c r="D62" i="2"/>
  <c r="D55" i="18"/>
  <c r="F55" i="18" s="1"/>
  <c r="D52" i="2"/>
  <c r="D43" i="18"/>
  <c r="F43" i="18" s="1"/>
  <c r="N91" i="16"/>
  <c r="M91" i="16"/>
  <c r="L91" i="16"/>
  <c r="I91" i="16"/>
  <c r="H91" i="16"/>
  <c r="G91" i="16"/>
  <c r="F91" i="16"/>
  <c r="N64" i="16"/>
  <c r="M64" i="16"/>
  <c r="L64" i="16"/>
  <c r="K64" i="16"/>
  <c r="I64" i="16"/>
  <c r="H64" i="16"/>
  <c r="G64" i="16"/>
  <c r="F64" i="16"/>
  <c r="J35" i="17" l="1"/>
  <c r="J34" i="17" s="1"/>
  <c r="O116" i="16"/>
  <c r="O113" i="16"/>
  <c r="O112" i="16"/>
  <c r="O111" i="16"/>
  <c r="O110" i="16"/>
  <c r="O109" i="16"/>
  <c r="O107" i="16"/>
  <c r="O106" i="16"/>
  <c r="K32" i="17" s="1"/>
  <c r="L32" i="17" s="1"/>
  <c r="O105" i="16"/>
  <c r="O104" i="16"/>
  <c r="O103" i="16"/>
  <c r="O102" i="16"/>
  <c r="O101" i="16"/>
  <c r="O98" i="16"/>
  <c r="K25" i="17" s="1"/>
  <c r="L25" i="17" s="1"/>
  <c r="O97" i="16"/>
  <c r="O96" i="16"/>
  <c r="O95" i="16"/>
  <c r="O94" i="16"/>
  <c r="O93" i="16"/>
  <c r="O92" i="16"/>
  <c r="K24" i="17" s="1"/>
  <c r="O90" i="16"/>
  <c r="O81" i="16"/>
  <c r="O80" i="16"/>
  <c r="O87" i="16"/>
  <c r="O86" i="16"/>
  <c r="O85" i="16"/>
  <c r="O84" i="16"/>
  <c r="O83" i="16"/>
  <c r="O77" i="16"/>
  <c r="H18" i="1" s="1"/>
  <c r="O76" i="16"/>
  <c r="H17" i="1" s="1"/>
  <c r="O75" i="16"/>
  <c r="H16" i="1" s="1"/>
  <c r="O73" i="16"/>
  <c r="H14" i="1" s="1"/>
  <c r="O72" i="16"/>
  <c r="H13" i="1" s="1"/>
  <c r="O71" i="16"/>
  <c r="H12" i="1" s="1"/>
  <c r="O68" i="16"/>
  <c r="O66" i="16"/>
  <c r="N33" i="16"/>
  <c r="J40" i="17" l="1"/>
  <c r="D7" i="9"/>
  <c r="O82" i="16"/>
  <c r="O79" i="16" s="1"/>
  <c r="K11" i="17"/>
  <c r="K10" i="17" s="1"/>
  <c r="O67" i="16"/>
  <c r="L38" i="17"/>
  <c r="L35" i="17" s="1"/>
  <c r="L34" i="17" s="1"/>
  <c r="K13" i="17"/>
  <c r="K17" i="17"/>
  <c r="L17" i="17" s="1"/>
  <c r="K29" i="17"/>
  <c r="L29" i="17" s="1"/>
  <c r="K18" i="17"/>
  <c r="L18" i="17" s="1"/>
  <c r="K30" i="17"/>
  <c r="L30" i="17" s="1"/>
  <c r="K14" i="17"/>
  <c r="L14" i="17" s="1"/>
  <c r="K15" i="17"/>
  <c r="L15" i="17" s="1"/>
  <c r="K19" i="17"/>
  <c r="L19" i="17" s="1"/>
  <c r="K31" i="17"/>
  <c r="L31" i="17" s="1"/>
  <c r="K16" i="17"/>
  <c r="L16" i="17" s="1"/>
  <c r="L24" i="17"/>
  <c r="K28" i="17"/>
  <c r="L28" i="17" s="1"/>
  <c r="O91" i="16"/>
  <c r="N227" i="16"/>
  <c r="D72" i="2" s="1"/>
  <c r="D70" i="2" s="1"/>
  <c r="D69" i="2" s="1"/>
  <c r="O222" i="16"/>
  <c r="M222" i="16"/>
  <c r="L222" i="16"/>
  <c r="K222" i="16"/>
  <c r="J222" i="16"/>
  <c r="I222" i="16"/>
  <c r="H222" i="16"/>
  <c r="G222" i="16"/>
  <c r="F222" i="16"/>
  <c r="E222" i="16"/>
  <c r="N170" i="16"/>
  <c r="N168" i="16"/>
  <c r="N167" i="16"/>
  <c r="D38" i="18" s="1"/>
  <c r="F38" i="18" s="1"/>
  <c r="O144" i="16"/>
  <c r="K137" i="16"/>
  <c r="K129" i="16" s="1"/>
  <c r="J137" i="16"/>
  <c r="J129" i="16" s="1"/>
  <c r="F100" i="16"/>
  <c r="F99" i="16" s="1"/>
  <c r="L11" i="17" l="1"/>
  <c r="L10" i="17" s="1"/>
  <c r="D27" i="2"/>
  <c r="D26" i="2" s="1"/>
  <c r="N225" i="16"/>
  <c r="N222" i="16" s="1"/>
  <c r="D68" i="18"/>
  <c r="K21" i="17"/>
  <c r="K23" i="17"/>
  <c r="L23" i="17"/>
  <c r="L22" i="17"/>
  <c r="L21" i="17" s="1"/>
  <c r="D48" i="2"/>
  <c r="D39" i="18"/>
  <c r="F39" i="18" s="1"/>
  <c r="F67" i="18"/>
  <c r="D50" i="2"/>
  <c r="D41" i="18"/>
  <c r="F41" i="18" s="1"/>
  <c r="D20" i="18"/>
  <c r="K27" i="17"/>
  <c r="K26" i="17" s="1"/>
  <c r="L27" i="17"/>
  <c r="L26" i="17" s="1"/>
  <c r="L13" i="17"/>
  <c r="D47" i="2"/>
  <c r="F68" i="18" l="1"/>
  <c r="D66" i="18"/>
  <c r="D18" i="18"/>
  <c r="F20" i="18"/>
  <c r="N229" i="16"/>
  <c r="N228" i="16" s="1"/>
  <c r="F66" i="18" l="1"/>
  <c r="G68" i="18" s="1"/>
  <c r="D63" i="18"/>
  <c r="F18" i="18"/>
  <c r="F63" i="18" l="1"/>
  <c r="G64" i="18" s="1"/>
  <c r="G67" i="18"/>
  <c r="H9" i="1"/>
  <c r="D53" i="2"/>
  <c r="G66" i="18" l="1"/>
  <c r="H174" i="16"/>
  <c r="G174" i="16"/>
  <c r="F174" i="16"/>
  <c r="E174" i="16"/>
  <c r="N100" i="16" l="1"/>
  <c r="N99" i="16" s="1"/>
  <c r="M100" i="16"/>
  <c r="M99" i="16" s="1"/>
  <c r="L100" i="16"/>
  <c r="L99" i="16" s="1"/>
  <c r="G100" i="16"/>
  <c r="G99" i="16" s="1"/>
  <c r="E100" i="16"/>
  <c r="E91" i="16"/>
  <c r="J180" i="16" l="1"/>
  <c r="J177" i="16" s="1"/>
  <c r="H204" i="16" l="1"/>
  <c r="H209" i="16" l="1"/>
  <c r="N209" i="16" s="1"/>
  <c r="H203" i="16" l="1"/>
  <c r="D64" i="2" l="1"/>
  <c r="I100" i="16" l="1"/>
  <c r="I99" i="16" s="1"/>
  <c r="N186" i="16"/>
  <c r="D52" i="18" s="1"/>
  <c r="F52" i="18" s="1"/>
  <c r="H100" i="16" l="1"/>
  <c r="H99" i="16" s="1"/>
  <c r="N48" i="16" l="1"/>
  <c r="F28" i="17" s="1"/>
  <c r="N49" i="16"/>
  <c r="F29" i="17" s="1"/>
  <c r="N50" i="16"/>
  <c r="F30" i="17" s="1"/>
  <c r="N47" i="16"/>
  <c r="E26" i="17" l="1"/>
  <c r="F27" i="17"/>
  <c r="G46" i="16"/>
  <c r="F26" i="17" l="1"/>
  <c r="N56" i="16"/>
  <c r="G12" i="16"/>
  <c r="F36" i="17" l="1"/>
  <c r="N34" i="16"/>
  <c r="N31" i="16" s="1"/>
  <c r="E16" i="17" l="1"/>
  <c r="F70" i="16"/>
  <c r="F147" i="16"/>
  <c r="F180" i="16"/>
  <c r="F177" i="16" s="1"/>
  <c r="F16" i="17" l="1"/>
  <c r="E15" i="17"/>
  <c r="E14" i="17" s="1"/>
  <c r="N199" i="16"/>
  <c r="D60" i="18" s="1"/>
  <c r="F60" i="18" s="1"/>
  <c r="N13" i="16"/>
  <c r="F13" i="17" l="1"/>
  <c r="F15" i="17"/>
  <c r="F14" i="17" s="1"/>
  <c r="N154" i="16"/>
  <c r="I46" i="16" l="1"/>
  <c r="I55" i="16"/>
  <c r="H55" i="16"/>
  <c r="J55" i="16"/>
  <c r="K55" i="16"/>
  <c r="N59" i="16"/>
  <c r="N58" i="16"/>
  <c r="N57" i="16"/>
  <c r="O55" i="16"/>
  <c r="M55" i="16"/>
  <c r="L55" i="16"/>
  <c r="G55" i="16"/>
  <c r="F55" i="16"/>
  <c r="E55" i="16"/>
  <c r="F37" i="17" l="1"/>
  <c r="F38" i="17"/>
  <c r="E41" i="16"/>
  <c r="D21" i="17"/>
  <c r="D17" i="17" s="1"/>
  <c r="D8" i="17" s="1"/>
  <c r="D7" i="17" s="1"/>
  <c r="D40" i="17" s="1"/>
  <c r="F39" i="17"/>
  <c r="N55" i="16"/>
  <c r="E35" i="17" l="1"/>
  <c r="D32" i="1"/>
  <c r="F35" i="17"/>
  <c r="N29" i="16"/>
  <c r="N20" i="16" l="1"/>
  <c r="L70" i="16"/>
  <c r="N153" i="16"/>
  <c r="N207" i="16" l="1"/>
  <c r="N198" i="16"/>
  <c r="N149" i="16"/>
  <c r="D25" i="18" s="1"/>
  <c r="F25" i="18" s="1"/>
  <c r="N150" i="16"/>
  <c r="D26" i="18" s="1"/>
  <c r="F26" i="18" s="1"/>
  <c r="N151" i="16"/>
  <c r="N152" i="16"/>
  <c r="N155" i="16"/>
  <c r="O12" i="16"/>
  <c r="N54" i="16"/>
  <c r="H180" i="16"/>
  <c r="H177" i="16" s="1"/>
  <c r="N202" i="16"/>
  <c r="O124" i="16"/>
  <c r="F34" i="17" l="1"/>
  <c r="H147" i="16"/>
  <c r="F12" i="16"/>
  <c r="E46" i="16" l="1"/>
  <c r="E89" i="16" l="1"/>
  <c r="E70" i="16"/>
  <c r="N193" i="16" l="1"/>
  <c r="D63" i="2" l="1"/>
  <c r="D56" i="18"/>
  <c r="F56" i="18" s="1"/>
  <c r="O135" i="16"/>
  <c r="D13" i="2" s="1"/>
  <c r="O136" i="16"/>
  <c r="D20" i="2" s="1"/>
  <c r="O139" i="16"/>
  <c r="M46" i="16"/>
  <c r="M12" i="16"/>
  <c r="D15" i="18" l="1"/>
  <c r="D14" i="18" s="1"/>
  <c r="D23" i="2"/>
  <c r="D22" i="2" s="1"/>
  <c r="D21" i="2" s="1"/>
  <c r="D12" i="2"/>
  <c r="D11" i="2" s="1"/>
  <c r="O134" i="16"/>
  <c r="O133" i="16" s="1"/>
  <c r="F15" i="18" l="1"/>
  <c r="F14" i="18" s="1"/>
  <c r="F13" i="18" s="1"/>
  <c r="D13" i="18"/>
  <c r="D9" i="18" s="1"/>
  <c r="D8" i="18" s="1"/>
  <c r="D7" i="2"/>
  <c r="D6" i="2" s="1"/>
  <c r="K12" i="16"/>
  <c r="F9" i="18" l="1"/>
  <c r="G20" i="18" s="1"/>
  <c r="K46" i="16"/>
  <c r="K37" i="16" s="1"/>
  <c r="N185" i="16"/>
  <c r="D51" i="18" s="1"/>
  <c r="F51" i="18" s="1"/>
  <c r="N183" i="16"/>
  <c r="N182" i="16"/>
  <c r="N184" i="16"/>
  <c r="J12" i="16"/>
  <c r="F8" i="18" l="1"/>
  <c r="G19" i="18" s="1"/>
  <c r="G18" i="18" s="1"/>
  <c r="N23" i="16"/>
  <c r="N24" i="16"/>
  <c r="N25" i="16"/>
  <c r="N21" i="16"/>
  <c r="N22" i="16"/>
  <c r="N17" i="16"/>
  <c r="N19" i="16"/>
  <c r="N16" i="16"/>
  <c r="N14" i="16"/>
  <c r="N15" i="16"/>
  <c r="G15" i="18" l="1"/>
  <c r="G14" i="18" s="1"/>
  <c r="G13" i="18" s="1"/>
  <c r="G12" i="18"/>
  <c r="G11" i="18" s="1"/>
  <c r="G10" i="18" s="1"/>
  <c r="I70" i="16"/>
  <c r="H70" i="16"/>
  <c r="G9" i="18" l="1"/>
  <c r="G8" i="18" s="1"/>
  <c r="N18" i="16"/>
  <c r="I12" i="16"/>
  <c r="H12" i="16" l="1"/>
  <c r="D67" i="2" l="1"/>
  <c r="F35" i="16"/>
  <c r="F30" i="16" s="1"/>
  <c r="G70" i="16"/>
  <c r="G115" i="16"/>
  <c r="G114" i="16" s="1"/>
  <c r="F217" i="16"/>
  <c r="E12" i="16" l="1"/>
  <c r="N196" i="16"/>
  <c r="D58" i="18" s="1"/>
  <c r="F58" i="18" s="1"/>
  <c r="N218" i="16" l="1"/>
  <c r="L217" i="16"/>
  <c r="N162" i="16"/>
  <c r="D33" i="18" s="1"/>
  <c r="F33" i="18" s="1"/>
  <c r="N161" i="16"/>
  <c r="D32" i="18" s="1"/>
  <c r="F32" i="18" s="1"/>
  <c r="N160" i="16"/>
  <c r="D31" i="18" s="1"/>
  <c r="F31" i="18" s="1"/>
  <c r="N158" i="16"/>
  <c r="N219" i="16"/>
  <c r="H217" i="16"/>
  <c r="D29" i="18" l="1"/>
  <c r="N156" i="16"/>
  <c r="F30" i="18"/>
  <c r="D30" i="18"/>
  <c r="N159" i="16"/>
  <c r="F29" i="18" l="1"/>
  <c r="D27" i="18"/>
  <c r="D12" i="1"/>
  <c r="D11" i="1" s="1"/>
  <c r="D65" i="2"/>
  <c r="D59" i="2"/>
  <c r="D42" i="2"/>
  <c r="D41" i="2"/>
  <c r="D40" i="2"/>
  <c r="D38" i="2"/>
  <c r="D36" i="2" s="1"/>
  <c r="F27" i="18" l="1"/>
  <c r="G29" i="18"/>
  <c r="G31" i="18"/>
  <c r="G32" i="18"/>
  <c r="G33" i="18"/>
  <c r="D39" i="2"/>
  <c r="N220" i="16"/>
  <c r="N221" i="16"/>
  <c r="N206" i="16"/>
  <c r="N208" i="16"/>
  <c r="N210" i="16"/>
  <c r="N205" i="16"/>
  <c r="N201" i="16"/>
  <c r="D62" i="18" s="1"/>
  <c r="F62" i="18" s="1"/>
  <c r="N191" i="16"/>
  <c r="D58" i="2"/>
  <c r="N181" i="16"/>
  <c r="N178" i="16"/>
  <c r="D48" i="18" s="1"/>
  <c r="F48" i="18" s="1"/>
  <c r="N179" i="16"/>
  <c r="N164" i="16"/>
  <c r="D35" i="18" s="1"/>
  <c r="F35" i="18" s="1"/>
  <c r="N171" i="16"/>
  <c r="D42" i="18" s="1"/>
  <c r="F42" i="18" s="1"/>
  <c r="N169" i="16"/>
  <c r="D40" i="18" s="1"/>
  <c r="F40" i="18" s="1"/>
  <c r="N165" i="16"/>
  <c r="D34" i="2"/>
  <c r="N45" i="16"/>
  <c r="N43" i="16"/>
  <c r="N40" i="16"/>
  <c r="N39" i="16"/>
  <c r="F163" i="16"/>
  <c r="F159" i="16"/>
  <c r="L52" i="16"/>
  <c r="G28" i="18" l="1"/>
  <c r="F37" i="18"/>
  <c r="N180" i="16"/>
  <c r="D61" i="2"/>
  <c r="D54" i="18"/>
  <c r="F54" i="18" s="1"/>
  <c r="F20" i="17"/>
  <c r="N41" i="16"/>
  <c r="D45" i="2"/>
  <c r="D36" i="18"/>
  <c r="F36" i="18" s="1"/>
  <c r="F34" i="18" s="1"/>
  <c r="D49" i="18"/>
  <c r="F49" i="18" s="1"/>
  <c r="D37" i="18"/>
  <c r="N166" i="16"/>
  <c r="D49" i="2"/>
  <c r="D51" i="2"/>
  <c r="N204" i="16"/>
  <c r="N203" i="16" s="1"/>
  <c r="D56" i="2"/>
  <c r="D18" i="1"/>
  <c r="D44" i="2"/>
  <c r="N163" i="16"/>
  <c r="N217" i="16"/>
  <c r="N46" i="16"/>
  <c r="D35" i="2"/>
  <c r="D68" i="2"/>
  <c r="D15" i="1" l="1"/>
  <c r="D14" i="1" s="1"/>
  <c r="D43" i="2"/>
  <c r="F23" i="17"/>
  <c r="E21" i="17"/>
  <c r="E24" i="17"/>
  <c r="F25" i="17"/>
  <c r="G36" i="18"/>
  <c r="E18" i="17"/>
  <c r="F19" i="17"/>
  <c r="D34" i="18"/>
  <c r="D46" i="2"/>
  <c r="E17" i="17" l="1"/>
  <c r="G35" i="18"/>
  <c r="F24" i="17"/>
  <c r="G42" i="18"/>
  <c r="G43" i="18"/>
  <c r="G39" i="18"/>
  <c r="G41" i="18"/>
  <c r="G38" i="18"/>
  <c r="F18" i="17"/>
  <c r="G40" i="18"/>
  <c r="F21" i="17"/>
  <c r="L12" i="16"/>
  <c r="N28" i="16"/>
  <c r="M229" i="16"/>
  <c r="M228" i="16" s="1"/>
  <c r="M217" i="16"/>
  <c r="M216" i="16" s="1"/>
  <c r="L216" i="16"/>
  <c r="M213" i="16"/>
  <c r="M212" i="16" s="1"/>
  <c r="M204" i="16"/>
  <c r="M203" i="16" s="1"/>
  <c r="M197" i="16"/>
  <c r="L180" i="16"/>
  <c r="L177" i="16" s="1"/>
  <c r="M163" i="16"/>
  <c r="L163" i="16"/>
  <c r="M159" i="16"/>
  <c r="L159" i="16"/>
  <c r="M147" i="16"/>
  <c r="M134" i="16"/>
  <c r="M133" i="16" s="1"/>
  <c r="L134" i="16"/>
  <c r="L133" i="16" s="1"/>
  <c r="M127" i="16"/>
  <c r="L127" i="16"/>
  <c r="M124" i="16"/>
  <c r="L124" i="16"/>
  <c r="M120" i="16"/>
  <c r="L120" i="16"/>
  <c r="L115" i="16"/>
  <c r="L114" i="16" s="1"/>
  <c r="M89" i="16"/>
  <c r="L89" i="16"/>
  <c r="L63" i="16" s="1"/>
  <c r="M60" i="16"/>
  <c r="M52" i="16"/>
  <c r="L46" i="16"/>
  <c r="L37" i="16" s="1"/>
  <c r="M44" i="16"/>
  <c r="L44" i="16"/>
  <c r="M38" i="16"/>
  <c r="L38" i="16"/>
  <c r="M35" i="16"/>
  <c r="M30" i="16" s="1"/>
  <c r="M10" i="16"/>
  <c r="M9" i="16" s="1"/>
  <c r="L10" i="16"/>
  <c r="F17" i="17" l="1"/>
  <c r="L62" i="16"/>
  <c r="M51" i="16"/>
  <c r="M146" i="16"/>
  <c r="M145" i="16" s="1"/>
  <c r="L9" i="16"/>
  <c r="L119" i="16"/>
  <c r="L118" i="16" s="1"/>
  <c r="M37" i="16"/>
  <c r="M119" i="16"/>
  <c r="M118" i="16" s="1"/>
  <c r="L137" i="16"/>
  <c r="L129" i="16" s="1"/>
  <c r="M137" i="16"/>
  <c r="M129" i="16" s="1"/>
  <c r="M8" i="16" l="1"/>
  <c r="J232" i="16"/>
  <c r="L232" i="16" s="1"/>
  <c r="L231" i="16" s="1"/>
  <c r="N216" i="16" l="1"/>
  <c r="N44" i="16"/>
  <c r="H38" i="16"/>
  <c r="H197" i="16"/>
  <c r="J217" i="16"/>
  <c r="J216" i="16" s="1"/>
  <c r="O120" i="16" l="1"/>
  <c r="N38" i="16"/>
  <c r="N37" i="16" s="1"/>
  <c r="N27" i="16"/>
  <c r="N26" i="16" l="1"/>
  <c r="O229" i="16"/>
  <c r="O228" i="16" s="1"/>
  <c r="O217" i="16"/>
  <c r="O216" i="16" s="1"/>
  <c r="O213" i="16"/>
  <c r="O212" i="16" s="1"/>
  <c r="O204" i="16"/>
  <c r="O203" i="16" s="1"/>
  <c r="O197" i="16"/>
  <c r="O163" i="16"/>
  <c r="O159" i="16"/>
  <c r="O147" i="16"/>
  <c r="N134" i="16"/>
  <c r="N133" i="16" s="1"/>
  <c r="N127" i="16"/>
  <c r="N124" i="16"/>
  <c r="N120" i="16"/>
  <c r="N115" i="16"/>
  <c r="N114" i="16" s="1"/>
  <c r="N89" i="16"/>
  <c r="N70" i="16"/>
  <c r="N63" i="16" s="1"/>
  <c r="O60" i="16"/>
  <c r="O52" i="16"/>
  <c r="O46" i="16"/>
  <c r="O37" i="16" s="1"/>
  <c r="O44" i="16"/>
  <c r="O41" i="16"/>
  <c r="O38" i="16"/>
  <c r="O35" i="16"/>
  <c r="O30" i="16"/>
  <c r="O10" i="16"/>
  <c r="N10" i="16"/>
  <c r="N12" i="16" l="1"/>
  <c r="N137" i="16"/>
  <c r="N129" i="16" s="1"/>
  <c r="O146" i="16"/>
  <c r="O145" i="16" s="1"/>
  <c r="O51" i="16"/>
  <c r="O9" i="16"/>
  <c r="N119" i="16"/>
  <c r="N118" i="16" s="1"/>
  <c r="N9" i="16" l="1"/>
  <c r="E9" i="17"/>
  <c r="D8" i="1"/>
  <c r="O8" i="16"/>
  <c r="F12" i="17" l="1"/>
  <c r="F9" i="17" s="1"/>
  <c r="N215" i="16"/>
  <c r="N194" i="16" l="1"/>
  <c r="H159" i="16" l="1"/>
  <c r="H163" i="16"/>
  <c r="H146" i="16" l="1"/>
  <c r="J204" i="16"/>
  <c r="J203" i="16" s="1"/>
  <c r="J46" i="16"/>
  <c r="E52" i="16"/>
  <c r="G52" i="16"/>
  <c r="L204" i="16" l="1"/>
  <c r="L203" i="16" s="1"/>
  <c r="N211" i="16"/>
  <c r="K78" i="16"/>
  <c r="K70" i="16" s="1"/>
  <c r="J230" i="16"/>
  <c r="J214" i="16"/>
  <c r="L214" i="16" s="1"/>
  <c r="L213" i="16" s="1"/>
  <c r="N200" i="16"/>
  <c r="O143" i="16"/>
  <c r="O142" i="16" s="1"/>
  <c r="J61" i="16"/>
  <c r="N53" i="16"/>
  <c r="J36" i="16"/>
  <c r="N197" i="16" l="1"/>
  <c r="D61" i="18"/>
  <c r="F61" i="18" s="1"/>
  <c r="F59" i="18" s="1"/>
  <c r="N52" i="16"/>
  <c r="O100" i="16"/>
  <c r="H29" i="1"/>
  <c r="H28" i="1" s="1"/>
  <c r="H22" i="1"/>
  <c r="M78" i="16"/>
  <c r="M70" i="16" s="1"/>
  <c r="M63" i="16" s="1"/>
  <c r="L61" i="16"/>
  <c r="N61" i="16" s="1"/>
  <c r="N188" i="16"/>
  <c r="N190" i="16"/>
  <c r="L229" i="16"/>
  <c r="L228" i="16" s="1"/>
  <c r="N36" i="16"/>
  <c r="L36" i="16"/>
  <c r="N189" i="16"/>
  <c r="J197" i="16"/>
  <c r="J146" i="16" s="1"/>
  <c r="N214" i="16"/>
  <c r="N213" i="16" s="1"/>
  <c r="N212" i="16" s="1"/>
  <c r="J213" i="16"/>
  <c r="D53" i="18" l="1"/>
  <c r="F53" i="18" s="1"/>
  <c r="D60" i="2"/>
  <c r="D55" i="2" s="1"/>
  <c r="E32" i="17"/>
  <c r="E31" i="17" s="1"/>
  <c r="E8" i="17" s="1"/>
  <c r="E7" i="17" s="1"/>
  <c r="E40" i="17" s="1"/>
  <c r="F33" i="17"/>
  <c r="D59" i="18"/>
  <c r="O78" i="16"/>
  <c r="N187" i="16"/>
  <c r="N177" i="16" s="1"/>
  <c r="O137" i="16"/>
  <c r="O129" i="16" s="1"/>
  <c r="O99" i="16"/>
  <c r="D29" i="1"/>
  <c r="D28" i="1" s="1"/>
  <c r="D7" i="1" s="1"/>
  <c r="D6" i="1" s="1"/>
  <c r="L197" i="16"/>
  <c r="E229" i="16"/>
  <c r="E228" i="16" s="1"/>
  <c r="K20" i="17" l="1"/>
  <c r="H19" i="1"/>
  <c r="H11" i="1" s="1"/>
  <c r="H8" i="1" s="1"/>
  <c r="F47" i="18"/>
  <c r="G55" i="18" s="1"/>
  <c r="G50" i="18"/>
  <c r="L20" i="17"/>
  <c r="K12" i="17"/>
  <c r="K9" i="17" s="1"/>
  <c r="K8" i="17" s="1"/>
  <c r="F32" i="17"/>
  <c r="F31" i="17" s="1"/>
  <c r="F8" i="17" s="1"/>
  <c r="F7" i="17" s="1"/>
  <c r="F40" i="17" s="1"/>
  <c r="D47" i="18"/>
  <c r="O70" i="16"/>
  <c r="D66" i="2"/>
  <c r="G48" i="18" l="1"/>
  <c r="G54" i="18"/>
  <c r="G49" i="18"/>
  <c r="G57" i="18"/>
  <c r="G56" i="18"/>
  <c r="G58" i="18"/>
  <c r="G51" i="18"/>
  <c r="G52" i="18"/>
  <c r="G53" i="18"/>
  <c r="G11" i="17"/>
  <c r="G28" i="17"/>
  <c r="G30" i="17"/>
  <c r="G29" i="17"/>
  <c r="G27" i="17"/>
  <c r="G36" i="17"/>
  <c r="G16" i="17"/>
  <c r="G15" i="17" s="1"/>
  <c r="G14" i="17" s="1"/>
  <c r="G13" i="17"/>
  <c r="G38" i="17"/>
  <c r="G37" i="17"/>
  <c r="G39" i="17"/>
  <c r="G34" i="17"/>
  <c r="G20" i="17"/>
  <c r="G25" i="17"/>
  <c r="G24" i="17" s="1"/>
  <c r="G19" i="17"/>
  <c r="G23" i="17"/>
  <c r="G21" i="17" s="1"/>
  <c r="G33" i="17"/>
  <c r="G60" i="18"/>
  <c r="G62" i="18"/>
  <c r="G61" i="18"/>
  <c r="L12" i="17"/>
  <c r="L9" i="17" s="1"/>
  <c r="L8" i="17" s="1"/>
  <c r="K197" i="16"/>
  <c r="K204" i="16"/>
  <c r="K203" i="16" s="1"/>
  <c r="K217" i="16"/>
  <c r="K216" i="16" s="1"/>
  <c r="K213" i="16"/>
  <c r="J89" i="16"/>
  <c r="K38" i="16"/>
  <c r="G32" i="17" l="1"/>
  <c r="G18" i="17"/>
  <c r="G12" i="17"/>
  <c r="G9" i="17" s="1"/>
  <c r="G35" i="17"/>
  <c r="G26" i="17"/>
  <c r="K89" i="16"/>
  <c r="K63" i="16" s="1"/>
  <c r="G31" i="17" l="1"/>
  <c r="G17" i="17"/>
  <c r="J229" i="16"/>
  <c r="K117" i="16"/>
  <c r="F46" i="16"/>
  <c r="K229" i="16"/>
  <c r="K228" i="16" s="1"/>
  <c r="I229" i="16"/>
  <c r="I228" i="16" s="1"/>
  <c r="H229" i="16"/>
  <c r="H228" i="16" s="1"/>
  <c r="G229" i="16"/>
  <c r="G228" i="16" s="1"/>
  <c r="F229" i="16"/>
  <c r="F228" i="16" s="1"/>
  <c r="I217" i="16"/>
  <c r="I216" i="16" s="1"/>
  <c r="H216" i="16"/>
  <c r="H145" i="16" s="1"/>
  <c r="G217" i="16"/>
  <c r="G216" i="16" s="1"/>
  <c r="F216" i="16"/>
  <c r="I213" i="16"/>
  <c r="H213" i="16"/>
  <c r="G213" i="16"/>
  <c r="G212" i="16" s="1"/>
  <c r="F213" i="16"/>
  <c r="F212" i="16" s="1"/>
  <c r="I204" i="16"/>
  <c r="I203" i="16" s="1"/>
  <c r="G204" i="16"/>
  <c r="G203" i="16" s="1"/>
  <c r="I197" i="16"/>
  <c r="G197" i="16"/>
  <c r="F197" i="16"/>
  <c r="K163" i="16"/>
  <c r="I163" i="16"/>
  <c r="G163" i="16"/>
  <c r="K159" i="16"/>
  <c r="I159" i="16"/>
  <c r="G159" i="16"/>
  <c r="I147" i="16"/>
  <c r="G147" i="16"/>
  <c r="E147" i="16"/>
  <c r="E146" i="16" s="1"/>
  <c r="E145" i="16" s="1"/>
  <c r="I134" i="16"/>
  <c r="I133" i="16" s="1"/>
  <c r="H134" i="16"/>
  <c r="G134" i="16"/>
  <c r="F134" i="16"/>
  <c r="F133" i="16" s="1"/>
  <c r="E134" i="16"/>
  <c r="E133" i="16" s="1"/>
  <c r="J127" i="16"/>
  <c r="J119" i="16" s="1"/>
  <c r="J118" i="16" s="1"/>
  <c r="I127" i="16"/>
  <c r="H127" i="16"/>
  <c r="G127" i="16"/>
  <c r="F127" i="16"/>
  <c r="E127" i="16"/>
  <c r="I124" i="16"/>
  <c r="H124" i="16"/>
  <c r="G124" i="16"/>
  <c r="F124" i="16"/>
  <c r="E124" i="16"/>
  <c r="I120" i="16"/>
  <c r="H120" i="16"/>
  <c r="G120" i="16"/>
  <c r="F120" i="16"/>
  <c r="E120" i="16"/>
  <c r="J115" i="16"/>
  <c r="J114" i="16" s="1"/>
  <c r="I115" i="16"/>
  <c r="H115" i="16"/>
  <c r="F115" i="16"/>
  <c r="F114" i="16" s="1"/>
  <c r="E115" i="16"/>
  <c r="E114" i="16" s="1"/>
  <c r="E99" i="16"/>
  <c r="H89" i="16"/>
  <c r="H63" i="16" s="1"/>
  <c r="I89" i="16"/>
  <c r="I63" i="16" s="1"/>
  <c r="G89" i="16"/>
  <c r="G63" i="16" s="1"/>
  <c r="F89" i="16"/>
  <c r="F63" i="16" s="1"/>
  <c r="E64" i="16"/>
  <c r="E63" i="16" s="1"/>
  <c r="K60" i="16"/>
  <c r="I60" i="16"/>
  <c r="H60" i="16"/>
  <c r="G60" i="16"/>
  <c r="G51" i="16" s="1"/>
  <c r="F60" i="16"/>
  <c r="E60" i="16"/>
  <c r="K52" i="16"/>
  <c r="I52" i="16"/>
  <c r="H52" i="16"/>
  <c r="F52" i="16"/>
  <c r="H46" i="16"/>
  <c r="K44" i="16"/>
  <c r="I44" i="16"/>
  <c r="H44" i="16"/>
  <c r="G44" i="16"/>
  <c r="F44" i="16"/>
  <c r="E44" i="16"/>
  <c r="I38" i="16"/>
  <c r="G38" i="16"/>
  <c r="F38" i="16"/>
  <c r="E38" i="16"/>
  <c r="K35" i="16"/>
  <c r="K30" i="16" s="1"/>
  <c r="I35" i="16"/>
  <c r="I30" i="16" s="1"/>
  <c r="H35" i="16"/>
  <c r="H30" i="16" s="1"/>
  <c r="G35" i="16"/>
  <c r="G30" i="16" s="1"/>
  <c r="E35" i="16"/>
  <c r="E30" i="16" s="1"/>
  <c r="K10" i="16"/>
  <c r="K9" i="16" s="1"/>
  <c r="J10" i="16"/>
  <c r="J9" i="16" s="1"/>
  <c r="I10" i="16"/>
  <c r="I9" i="16" s="1"/>
  <c r="H10" i="16"/>
  <c r="H9" i="16" s="1"/>
  <c r="G10" i="16"/>
  <c r="G9" i="16" s="1"/>
  <c r="F10" i="16"/>
  <c r="F9" i="16" s="1"/>
  <c r="E10" i="16"/>
  <c r="E9" i="16" s="1"/>
  <c r="H62" i="16" l="1"/>
  <c r="G62" i="16"/>
  <c r="I62" i="16"/>
  <c r="G8" i="17"/>
  <c r="G7" i="17" s="1"/>
  <c r="G40" i="17" s="1"/>
  <c r="K146" i="16"/>
  <c r="K145" i="16" s="1"/>
  <c r="K51" i="16"/>
  <c r="I51" i="16"/>
  <c r="H51" i="16"/>
  <c r="E51" i="16"/>
  <c r="K8" i="16"/>
  <c r="I146" i="16"/>
  <c r="I145" i="16" s="1"/>
  <c r="J64" i="16"/>
  <c r="J63" i="16" s="1"/>
  <c r="O65" i="16"/>
  <c r="F51" i="16"/>
  <c r="G146" i="16"/>
  <c r="G145" i="16" s="1"/>
  <c r="F146" i="16"/>
  <c r="E62" i="16"/>
  <c r="F62" i="16"/>
  <c r="M117" i="16"/>
  <c r="O117" i="16" s="1"/>
  <c r="O115" i="16" s="1"/>
  <c r="O114" i="16" s="1"/>
  <c r="H37" i="16"/>
  <c r="F37" i="16"/>
  <c r="E37" i="16"/>
  <c r="O89" i="16"/>
  <c r="G37" i="16"/>
  <c r="G8" i="16" s="1"/>
  <c r="E119" i="16"/>
  <c r="E118" i="16" s="1"/>
  <c r="N62" i="16"/>
  <c r="K115" i="16"/>
  <c r="K114" i="16" s="1"/>
  <c r="K62" i="16" s="1"/>
  <c r="O127" i="16"/>
  <c r="J35" i="16"/>
  <c r="J30" i="16" s="1"/>
  <c r="H133" i="16"/>
  <c r="G133" i="16"/>
  <c r="I37" i="16"/>
  <c r="J60" i="16"/>
  <c r="K127" i="16"/>
  <c r="K119" i="16" s="1"/>
  <c r="K118" i="16" s="1"/>
  <c r="G119" i="16"/>
  <c r="G118" i="16" s="1"/>
  <c r="I119" i="16"/>
  <c r="I118" i="16" s="1"/>
  <c r="H119" i="16"/>
  <c r="H118" i="16" s="1"/>
  <c r="J44" i="16"/>
  <c r="J37" i="16" s="1"/>
  <c r="E137" i="16"/>
  <c r="E129" i="16" s="1"/>
  <c r="F119" i="16"/>
  <c r="F118" i="16" s="1"/>
  <c r="F137" i="16"/>
  <c r="F129" i="16" s="1"/>
  <c r="H137" i="16"/>
  <c r="I137" i="16"/>
  <c r="I129" i="16" s="1"/>
  <c r="G137" i="16"/>
  <c r="F204" i="16"/>
  <c r="F203" i="16" s="1"/>
  <c r="J62" i="16" l="1"/>
  <c r="H129" i="16"/>
  <c r="G129" i="16"/>
  <c r="O119" i="16"/>
  <c r="O118" i="16" s="1"/>
  <c r="O64" i="16"/>
  <c r="O63" i="16" s="1"/>
  <c r="K233" i="16"/>
  <c r="E8" i="16"/>
  <c r="E233" i="16" s="1"/>
  <c r="I8" i="16"/>
  <c r="H8" i="16"/>
  <c r="F145" i="16"/>
  <c r="F8" i="16"/>
  <c r="N60" i="16"/>
  <c r="N51" i="16" s="1"/>
  <c r="J51" i="16"/>
  <c r="J8" i="16" s="1"/>
  <c r="N35" i="16"/>
  <c r="N30" i="16" s="1"/>
  <c r="M115" i="16"/>
  <c r="M114" i="16" s="1"/>
  <c r="M62" i="16" s="1"/>
  <c r="M233" i="16" s="1"/>
  <c r="L60" i="16"/>
  <c r="L51" i="16" s="1"/>
  <c r="L35" i="16"/>
  <c r="L30" i="16" s="1"/>
  <c r="K7" i="17" l="1"/>
  <c r="N8" i="16"/>
  <c r="L8" i="16"/>
  <c r="G233" i="16"/>
  <c r="O62" i="16"/>
  <c r="O233" i="16" s="1"/>
  <c r="F233" i="16"/>
  <c r="L7" i="17" l="1"/>
  <c r="K33" i="17"/>
  <c r="F234" i="16"/>
  <c r="H7" i="1"/>
  <c r="H6" i="1" s="1"/>
  <c r="H37" i="1" s="1"/>
  <c r="L33" i="17" l="1"/>
  <c r="M28" i="17" s="1"/>
  <c r="L40" i="17"/>
  <c r="M25" i="17"/>
  <c r="M16" i="17"/>
  <c r="M17" i="17"/>
  <c r="M31" i="17"/>
  <c r="M20" i="17"/>
  <c r="M18" i="17" l="1"/>
  <c r="M14" i="17"/>
  <c r="M22" i="17"/>
  <c r="M11" i="17"/>
  <c r="M10" i="17" s="1"/>
  <c r="M19" i="17"/>
  <c r="M15" i="17"/>
  <c r="M13" i="17"/>
  <c r="M12" i="17" s="1"/>
  <c r="M24" i="17"/>
  <c r="M30" i="17"/>
  <c r="M29" i="17"/>
  <c r="M32" i="17"/>
  <c r="D37" i="1"/>
  <c r="M27" i="17" l="1"/>
  <c r="M26" i="17" s="1"/>
  <c r="I233" i="16"/>
  <c r="H233" i="16" l="1"/>
  <c r="I234" i="16" s="1"/>
  <c r="N232" i="16" l="1"/>
  <c r="N231" i="16" s="1"/>
  <c r="J231" i="16"/>
  <c r="J228" i="16" s="1"/>
  <c r="J145" i="16" s="1"/>
  <c r="J233" i="16" s="1"/>
  <c r="K234" i="16" s="1"/>
  <c r="N148" i="16" l="1"/>
  <c r="D24" i="18" s="1"/>
  <c r="F24" i="18" s="1"/>
  <c r="F23" i="18" s="1"/>
  <c r="F22" i="18" s="1"/>
  <c r="G27" i="18" s="1"/>
  <c r="L147" i="16"/>
  <c r="L146" i="16" s="1"/>
  <c r="L145" i="16" s="1"/>
  <c r="F21" i="18" l="1"/>
  <c r="D23" i="18"/>
  <c r="D22" i="18" s="1"/>
  <c r="L233" i="16"/>
  <c r="M234" i="16" s="1"/>
  <c r="N147" i="16"/>
  <c r="N146" i="16" s="1"/>
  <c r="D33" i="2"/>
  <c r="D32" i="2" s="1"/>
  <c r="G22" i="18" l="1"/>
  <c r="G69" i="18"/>
  <c r="D21" i="18"/>
  <c r="N145" i="16"/>
  <c r="D31" i="2"/>
  <c r="D29" i="2" l="1"/>
  <c r="G23" i="18"/>
  <c r="G25" i="18"/>
  <c r="G26" i="18"/>
  <c r="G24" i="18"/>
  <c r="N233" i="16"/>
  <c r="O234" i="16" s="1"/>
  <c r="D14" i="9" l="1"/>
  <c r="D13" i="9" s="1"/>
  <c r="D19" i="9" s="1"/>
  <c r="G44" i="18"/>
  <c r="G30" i="18"/>
  <c r="G34" i="18"/>
  <c r="G37" i="18"/>
  <c r="G47" i="18"/>
  <c r="G59" i="18"/>
  <c r="K38" i="17" l="1"/>
  <c r="K35" i="17" s="1"/>
  <c r="H42" i="1"/>
  <c r="H39" i="1" s="1"/>
  <c r="H38" i="1" s="1"/>
  <c r="H44" i="1" s="1"/>
  <c r="M21" i="17" l="1"/>
  <c r="M37" i="17"/>
  <c r="M36" i="17" s="1"/>
  <c r="M23" i="17"/>
  <c r="M39" i="17"/>
  <c r="M38" i="17" s="1"/>
  <c r="K34" i="17"/>
  <c r="K40" i="17" l="1"/>
  <c r="D9" i="9"/>
  <c r="D8" i="9" s="1"/>
  <c r="M9" i="17"/>
  <c r="M35" i="17"/>
  <c r="M34" i="17" s="1"/>
  <c r="M8" i="17" l="1"/>
  <c r="M7" i="17" s="1"/>
  <c r="M33" i="17" s="1"/>
  <c r="D73" i="18"/>
  <c r="E73" i="18"/>
  <c r="G73" i="18"/>
  <c r="G63" i="18"/>
  <c r="F73" i="18"/>
  <c r="G21" i="18" l="1"/>
</calcChain>
</file>

<file path=xl/sharedStrings.xml><?xml version="1.0" encoding="utf-8"?>
<sst xmlns="http://schemas.openxmlformats.org/spreadsheetml/2006/main" count="816" uniqueCount="450">
  <si>
    <t>AGUAS DEL CHOCÓ S.A.E.S.P</t>
  </si>
  <si>
    <t>NIT.: 900.354.051-1</t>
  </si>
  <si>
    <t xml:space="preserve">ACTIVO </t>
  </si>
  <si>
    <t xml:space="preserve">PASIVO </t>
  </si>
  <si>
    <t xml:space="preserve">ACTIVO CORRIENTE </t>
  </si>
  <si>
    <t xml:space="preserve">PASIVO CORRIENTE </t>
  </si>
  <si>
    <t xml:space="preserve">EFECTIVO </t>
  </si>
  <si>
    <t xml:space="preserve">Caja </t>
  </si>
  <si>
    <t xml:space="preserve">Adquisición de Bienes y Servicios Nacionales </t>
  </si>
  <si>
    <t xml:space="preserve">Caja Principal </t>
  </si>
  <si>
    <t xml:space="preserve">Bienes y Servicios </t>
  </si>
  <si>
    <t xml:space="preserve">Depositos en Inistituciones Financieras </t>
  </si>
  <si>
    <t>Cuenta Corriente Bancolombia (PDA)</t>
  </si>
  <si>
    <t xml:space="preserve">Servicios Públicos </t>
  </si>
  <si>
    <t xml:space="preserve">Viaticos y Gastos de Viaje </t>
  </si>
  <si>
    <t>Aporte  a fondo de Pensiones</t>
  </si>
  <si>
    <t xml:space="preserve">Aportes a Seguridad Social en Salud </t>
  </si>
  <si>
    <t xml:space="preserve">Aportes al ICBF, SENA, ICBF, y Cajas de Compensaciones </t>
  </si>
  <si>
    <t>DEUDORES</t>
  </si>
  <si>
    <t xml:space="preserve">Honorarios </t>
  </si>
  <si>
    <t>Servicios</t>
  </si>
  <si>
    <t xml:space="preserve">Avances y Anticipos Entregados </t>
  </si>
  <si>
    <t xml:space="preserve">Retención en la Fuente </t>
  </si>
  <si>
    <t xml:space="preserve">Avances para Viaticos y Gastos de Viaje </t>
  </si>
  <si>
    <t xml:space="preserve">Avance para adquisicón de Bienes y servicios </t>
  </si>
  <si>
    <t xml:space="preserve">Anticipos para Proyectos de Inversión </t>
  </si>
  <si>
    <t xml:space="preserve">Servicios </t>
  </si>
  <si>
    <t>Otros Deudores</t>
  </si>
  <si>
    <t xml:space="preserve">Arrendamiento </t>
  </si>
  <si>
    <t>Compras</t>
  </si>
  <si>
    <t xml:space="preserve">PROPIEDADES PLANTA Y EQUIPO </t>
  </si>
  <si>
    <t xml:space="preserve">Impuestos, contribuciones y Tasas por pagar </t>
  </si>
  <si>
    <t>Otros Impuestos Departamentales (estampilla - Procultura)</t>
  </si>
  <si>
    <t>Otros Impuestos Departamentales (estampilla - Prodesarrollo)</t>
  </si>
  <si>
    <t xml:space="preserve">Muebles, Enseres y Equipos de Oficina </t>
  </si>
  <si>
    <t xml:space="preserve">Muebles y Enseres </t>
  </si>
  <si>
    <t xml:space="preserve">Equipos y Maquina de Oficina </t>
  </si>
  <si>
    <t xml:space="preserve">Equipos de Comunicaciones y Computación </t>
  </si>
  <si>
    <t xml:space="preserve">Equipos de Trasporte, Tracción y elevación </t>
  </si>
  <si>
    <t>Terrestre</t>
  </si>
  <si>
    <t xml:space="preserve">Cesantías </t>
  </si>
  <si>
    <t xml:space="preserve">Depreciación Acumulada </t>
  </si>
  <si>
    <t xml:space="preserve">Equipo de Trasporte, tracción y elevación </t>
  </si>
  <si>
    <t xml:space="preserve">PATRIMONIO </t>
  </si>
  <si>
    <t xml:space="preserve">OTROS ACTIVOS </t>
  </si>
  <si>
    <t xml:space="preserve">Capital Suscrito y Pagado </t>
  </si>
  <si>
    <t xml:space="preserve">Intangibles </t>
  </si>
  <si>
    <t xml:space="preserve">Capital Autorizado </t>
  </si>
  <si>
    <t xml:space="preserve">Licencias </t>
  </si>
  <si>
    <t xml:space="preserve">Capital Por Suscribir </t>
  </si>
  <si>
    <t xml:space="preserve">Capital Suscrito por Cobrar </t>
  </si>
  <si>
    <t xml:space="preserve">Resultado del Ejercicio </t>
  </si>
  <si>
    <t xml:space="preserve">Patrimonio Institucional Incorporado </t>
  </si>
  <si>
    <t xml:space="preserve">Bienes </t>
  </si>
  <si>
    <t xml:space="preserve">TOTAL ACTIVO </t>
  </si>
  <si>
    <t xml:space="preserve">TOTAL PASIVO MAS PATRIMONIO </t>
  </si>
  <si>
    <t xml:space="preserve">Representante Legal </t>
  </si>
  <si>
    <t>Empresa Aguas del Chocó S.A ESP</t>
  </si>
  <si>
    <t xml:space="preserve">INGRESOS </t>
  </si>
  <si>
    <t xml:space="preserve">ACTIVADADES ORDINARIAS </t>
  </si>
  <si>
    <t xml:space="preserve">Transferencias </t>
  </si>
  <si>
    <t xml:space="preserve">Otras Tranferencias </t>
  </si>
  <si>
    <t xml:space="preserve">Para Proyectos de Inversión </t>
  </si>
  <si>
    <t xml:space="preserve">Para Gastos de Funcionamiento </t>
  </si>
  <si>
    <t xml:space="preserve">Otros Ingresos </t>
  </si>
  <si>
    <t xml:space="preserve">Financieros </t>
  </si>
  <si>
    <t>Intereses Sobre Depositos en Instituciones Financieras</t>
  </si>
  <si>
    <t xml:space="preserve">Extraordinarias </t>
  </si>
  <si>
    <t>GASTOS</t>
  </si>
  <si>
    <t xml:space="preserve">De adminstración </t>
  </si>
  <si>
    <t xml:space="preserve">Sueldos y Salarios </t>
  </si>
  <si>
    <t xml:space="preserve">Sueldos del Personal </t>
  </si>
  <si>
    <t xml:space="preserve">Gastos de Representación </t>
  </si>
  <si>
    <t xml:space="preserve">Prima Vacacional </t>
  </si>
  <si>
    <t xml:space="preserve">Prima de Navidad </t>
  </si>
  <si>
    <t>Vacaciones</t>
  </si>
  <si>
    <t xml:space="preserve">Auxilio de Transporte </t>
  </si>
  <si>
    <t>Casantías</t>
  </si>
  <si>
    <t>Intereses Sobre Censatías</t>
  </si>
  <si>
    <t xml:space="preserve">Capacitación, bienestar social y estimulos </t>
  </si>
  <si>
    <t xml:space="preserve">Prima de Servicios </t>
  </si>
  <si>
    <t xml:space="preserve">Contribuciones Imputadas </t>
  </si>
  <si>
    <t xml:space="preserve">Otras Contribuciones Imputadas </t>
  </si>
  <si>
    <t>Contribuciones Efectivas</t>
  </si>
  <si>
    <t xml:space="preserve">Aportes a Cajas de Compensación Familiar </t>
  </si>
  <si>
    <t xml:space="preserve">Cotización a Riesgos Profesionales </t>
  </si>
  <si>
    <t xml:space="preserve">Generales </t>
  </si>
  <si>
    <t xml:space="preserve">Materiales y Suminstro </t>
  </si>
  <si>
    <t xml:space="preserve">Mantenimientos </t>
  </si>
  <si>
    <t>Energía</t>
  </si>
  <si>
    <t xml:space="preserve">Alumbrado Público </t>
  </si>
  <si>
    <t xml:space="preserve">Telefono </t>
  </si>
  <si>
    <t xml:space="preserve">Acueductoy Alcatarillado </t>
  </si>
  <si>
    <t xml:space="preserve">Publicidad y Propaganda </t>
  </si>
  <si>
    <t xml:space="preserve">Comunicaciones y Trasporte </t>
  </si>
  <si>
    <t xml:space="preserve">Combustible y Lubricantes </t>
  </si>
  <si>
    <t xml:space="preserve">Otros Gastos Generales </t>
  </si>
  <si>
    <t xml:space="preserve">Impuestos, Contribuciones y tasas </t>
  </si>
  <si>
    <t xml:space="preserve">Sanciones </t>
  </si>
  <si>
    <t>Intereses de Mora</t>
  </si>
  <si>
    <t>Provisiones, depreciaciones y amortizaciones</t>
  </si>
  <si>
    <t xml:space="preserve">Depreciación de Propiedades, planta y equipo </t>
  </si>
  <si>
    <t>Maquina y equipo</t>
  </si>
  <si>
    <t xml:space="preserve">Gasto Público Social </t>
  </si>
  <si>
    <t xml:space="preserve">Agua Potable y Saneamiento Basico </t>
  </si>
  <si>
    <t xml:space="preserve">Asignación de Bienes y Servicios </t>
  </si>
  <si>
    <t>REPUBLICA DE COLOMBIA</t>
  </si>
  <si>
    <t>DEPARTAMENTO DEL CHOCO</t>
  </si>
  <si>
    <t>AGUAS DEL CHOCO S.A.E.S.P</t>
  </si>
  <si>
    <t xml:space="preserve">Codigo </t>
  </si>
  <si>
    <t xml:space="preserve">Nombre de la Cuenta </t>
  </si>
  <si>
    <t xml:space="preserve">Debito </t>
  </si>
  <si>
    <t xml:space="preserve">Credito </t>
  </si>
  <si>
    <t xml:space="preserve">ACTIVOS </t>
  </si>
  <si>
    <t xml:space="preserve">Deudas de Dificil Cobro </t>
  </si>
  <si>
    <t xml:space="preserve">Otros Deudores </t>
  </si>
  <si>
    <t xml:space="preserve">Bienes y Servicios Pagados por Anticipado </t>
  </si>
  <si>
    <t xml:space="preserve">Seguros </t>
  </si>
  <si>
    <t>PASIVO</t>
  </si>
  <si>
    <t xml:space="preserve">Cuentas por Pagar </t>
  </si>
  <si>
    <t xml:space="preserve">Servicios Publicos </t>
  </si>
  <si>
    <t xml:space="preserve">Embargos Judiciales </t>
  </si>
  <si>
    <t xml:space="preserve">Rentencion en la Fuenta Contratos de Obra </t>
  </si>
  <si>
    <t>Otras Retenciones (Impuesto sobre la renta para la equidad)</t>
  </si>
  <si>
    <t>Nomina por Pagar</t>
  </si>
  <si>
    <t>Prima de Vacaciones</t>
  </si>
  <si>
    <t>Pasivo Estimodos</t>
  </si>
  <si>
    <t xml:space="preserve">Provisión para prestaciones sociales </t>
  </si>
  <si>
    <t xml:space="preserve">Patrimonio Institucional </t>
  </si>
  <si>
    <t xml:space="preserve">Utilidad o Excedente del Ejercicio Anterior </t>
  </si>
  <si>
    <t xml:space="preserve">Utilidad o Excedente del Ejercicio </t>
  </si>
  <si>
    <t xml:space="preserve">Cotización a Seguridad Social en Salud </t>
  </si>
  <si>
    <t>Aportes Sobre Nomina</t>
  </si>
  <si>
    <t>Aportes al ICBF</t>
  </si>
  <si>
    <t xml:space="preserve">Aportes al SENA </t>
  </si>
  <si>
    <t xml:space="preserve">Impresos, Publicaciones, Suscripciones y Afiliaciones </t>
  </si>
  <si>
    <t xml:space="preserve">Seguros Generales </t>
  </si>
  <si>
    <t>Gastos Legales</t>
  </si>
  <si>
    <t xml:space="preserve">Gravamen a los Movimientos Financieros </t>
  </si>
  <si>
    <t>TOTAL</t>
  </si>
  <si>
    <t xml:space="preserve">DETALLE DE LAS VARIACIONES PATRIMONIALES </t>
  </si>
  <si>
    <t xml:space="preserve">VARIACIÓN </t>
  </si>
  <si>
    <t>Contador Empresa Aguas del Chocó S.A ESP</t>
  </si>
  <si>
    <t>Recuperaciones</t>
  </si>
  <si>
    <t>Cesantias</t>
  </si>
  <si>
    <t>Otros Impuestos Departamentales (estampilla - ProUniversidad)</t>
  </si>
  <si>
    <t>Cuenta Corriente (banco de Bogota) Convenio Mupio Tadó</t>
  </si>
  <si>
    <t>Otras Transferencias, proyectos de inversión</t>
  </si>
  <si>
    <t>Cuenta Corriente (banco de Bogota) Convenio Mupio Istmina</t>
  </si>
  <si>
    <t>Transferencias</t>
  </si>
  <si>
    <t>Otras Transferencias</t>
  </si>
  <si>
    <t>Otros Impuestos (Comision e Iva)</t>
  </si>
  <si>
    <t>Tado</t>
  </si>
  <si>
    <t>carmen del Darien</t>
  </si>
  <si>
    <t>acandí</t>
  </si>
  <si>
    <t>itsmina</t>
  </si>
  <si>
    <t>comunidades indigenas</t>
  </si>
  <si>
    <t>Aseguramiento</t>
  </si>
  <si>
    <t>Bienes y Servicios Pagados por Anticipado</t>
  </si>
  <si>
    <t>Movimiento 2o Trimestre</t>
  </si>
  <si>
    <r>
      <t xml:space="preserve">EFECTIVO  </t>
    </r>
    <r>
      <rPr>
        <b/>
        <sz val="9"/>
        <rFont val="Calibri"/>
        <family val="2"/>
        <scheme val="minor"/>
      </rPr>
      <t xml:space="preserve">                        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</t>
    </r>
    <r>
      <rPr>
        <b/>
        <sz val="8"/>
        <color theme="1" tint="0.499984740745262"/>
        <rFont val="Calibri"/>
        <family val="2"/>
        <scheme val="minor"/>
      </rPr>
      <t xml:space="preserve"> Nota #3</t>
    </r>
  </si>
  <si>
    <r>
      <t xml:space="preserve">PROPIEDADES PLANTA Y EQUIPO </t>
    </r>
    <r>
      <rPr>
        <b/>
        <sz val="9"/>
        <rFont val="Calibri"/>
        <family val="2"/>
        <scheme val="minor"/>
      </rPr>
      <t xml:space="preserve">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#5</t>
    </r>
  </si>
  <si>
    <r>
      <t xml:space="preserve">Cuentas por Pagar </t>
    </r>
    <r>
      <rPr>
        <b/>
        <sz val="9"/>
        <rFont val="Calibri"/>
        <family val="2"/>
        <scheme val="minor"/>
      </rPr>
      <t xml:space="preserve">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#7</t>
    </r>
  </si>
  <si>
    <t xml:space="preserve">TOTAL PASIVO                   </t>
  </si>
  <si>
    <t xml:space="preserve">Movimiento 1er Trimestre </t>
  </si>
  <si>
    <t>NIT.: 900354051-1</t>
  </si>
  <si>
    <t>NIT: 900354051-1</t>
  </si>
  <si>
    <t>Impuesto Sobre Vehiculo Automotor</t>
  </si>
  <si>
    <t>Servicio de Acueducto</t>
  </si>
  <si>
    <t>Servicio de Alcantarillado</t>
  </si>
  <si>
    <t>Servicio de Aseo</t>
  </si>
  <si>
    <t>Cuenta Corriente (banco de Bogota) Convenio Municipio de Condoto</t>
  </si>
  <si>
    <t>Cuenta Corriente (banco de Bogota) Convenio Municipio de Rio Iró</t>
  </si>
  <si>
    <t>Otros Impuestos Departamentales (estampilla - ProAncianato)</t>
  </si>
  <si>
    <t>Extraordinario</t>
  </si>
  <si>
    <t xml:space="preserve">perdida en Excisiones </t>
  </si>
  <si>
    <t>Fondo de Seguridad</t>
  </si>
  <si>
    <t xml:space="preserve">Otras Transferencias - Proyectos de Inversion </t>
  </si>
  <si>
    <t xml:space="preserve">ESTADO DE CAMBIO EN EL PATRIMINIO </t>
  </si>
  <si>
    <t>AUMENTO</t>
  </si>
  <si>
    <r>
      <t xml:space="preserve">Reviso: </t>
    </r>
    <r>
      <rPr>
        <i/>
        <sz val="8"/>
        <rFont val="Century Gothic"/>
        <family val="2"/>
      </rPr>
      <t xml:space="preserve">Leidy Yomaira Andrade Caballero. - Financiera </t>
    </r>
  </si>
  <si>
    <r>
      <t xml:space="preserve">Reviso: </t>
    </r>
    <r>
      <rPr>
        <sz val="8"/>
        <rFont val="Century Gothic"/>
        <family val="2"/>
      </rPr>
      <t xml:space="preserve">Leidy Yomaira Andrade Caballero - Financiera </t>
    </r>
  </si>
  <si>
    <t>Movimiento 3er Trimestre</t>
  </si>
  <si>
    <t>A empleados Art 383</t>
  </si>
  <si>
    <t>Movimiento 4o Trimestre</t>
  </si>
  <si>
    <t xml:space="preserve">Saldos a 31  de Diciembre </t>
  </si>
  <si>
    <t>Bonificaciones</t>
  </si>
  <si>
    <t>PRESTACIONES SOCIALES</t>
  </si>
  <si>
    <t>GASTOS DE PERSONAL DIVERSO</t>
  </si>
  <si>
    <t>Remuneración por servicios Tecnicos</t>
  </si>
  <si>
    <t>Embargos Judiciales</t>
  </si>
  <si>
    <t>Arrendamiento</t>
  </si>
  <si>
    <t>Arriendo Hosting</t>
  </si>
  <si>
    <t>Contratos de Obras</t>
  </si>
  <si>
    <t xml:space="preserve">DEFICIT DEL EJERCICIO </t>
  </si>
  <si>
    <t>Poliza de Manejo y Seguro Todo riesgo</t>
  </si>
  <si>
    <t>Intereses a las Cesantias</t>
  </si>
  <si>
    <t>Prima de Navidad</t>
  </si>
  <si>
    <t>Trasferencias por Cobrar y Otros deudores</t>
  </si>
  <si>
    <t>Otras Cuentas por Cobrar</t>
  </si>
  <si>
    <t>Otros Avances y Anticipos (Construcción de insfraestructura)</t>
  </si>
  <si>
    <t>Trasferencias por Cobrar (Otras transf. y otros Deudores)</t>
  </si>
  <si>
    <t>Equipo de Computación  y Comunicación</t>
  </si>
  <si>
    <t>Provisiones laborales (Cesantias)</t>
  </si>
  <si>
    <t>Equipos de Computación y comunicación</t>
  </si>
  <si>
    <t xml:space="preserve">Otros Avances(Avances para construcción de infraestructura) </t>
  </si>
  <si>
    <t>ESTADO DE SITUACION FINANCIERA</t>
  </si>
  <si>
    <t>Contador - Empresa Aguas del Chocó S.A ESP</t>
  </si>
  <si>
    <t>OTROS ACTIVOS</t>
  </si>
  <si>
    <t>CUENTAS POR COBRAR</t>
  </si>
  <si>
    <t>ESTADO DE RESULTADO</t>
  </si>
  <si>
    <r>
      <rPr>
        <b/>
        <sz val="9"/>
        <rFont val="Calibri"/>
        <family val="2"/>
        <scheme val="minor"/>
      </rPr>
      <t xml:space="preserve">AVANCES Y ANTICIPOS ENTREGADOS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#6</t>
    </r>
  </si>
  <si>
    <t>GASTOS DIVERSOS</t>
  </si>
  <si>
    <t>Otros Acreedores - Servicios</t>
  </si>
  <si>
    <t>Ingresos Diversos</t>
  </si>
  <si>
    <t>Amosrtizacion de Activos Intangibles</t>
  </si>
  <si>
    <t>Otros  intangibles - Seguros y Hosting</t>
  </si>
  <si>
    <t>Gravamen movimiento financiero</t>
  </si>
  <si>
    <t>EDINSON OREJUELA PINO</t>
  </si>
  <si>
    <t>T.P. 55085 - T</t>
  </si>
  <si>
    <t>Vacacioners</t>
  </si>
  <si>
    <t>Intereses a las cesantias</t>
  </si>
  <si>
    <t>Gastos de personal diversos</t>
  </si>
  <si>
    <t>Remunberacion por servicioos tecnicos</t>
  </si>
  <si>
    <t>Arrendamiento operativo</t>
  </si>
  <si>
    <t>Otras cuentas por pagar</t>
  </si>
  <si>
    <t>Descuientos de nomina</t>
  </si>
  <si>
    <t>Descuentos de nomina</t>
  </si>
  <si>
    <t>Impuestos a las ventas retenidos</t>
  </si>
  <si>
    <t>Otras retenciones</t>
  </si>
  <si>
    <t>Rentas de trabajo</t>
  </si>
  <si>
    <t>Beneficios a los empleados</t>
  </si>
  <si>
    <t>Beneficvios a los empleados a corto plazo</t>
  </si>
  <si>
    <t>Aporte Riesgo Laborales</t>
  </si>
  <si>
    <t>Beneficios a los Empleados</t>
  </si>
  <si>
    <t>Beneficios a los Empleado a Corto Plazo</t>
  </si>
  <si>
    <r>
      <t>Patrimonio de Las Empresas</t>
    </r>
    <r>
      <rPr>
        <b/>
        <sz val="9"/>
        <rFont val="Calibri"/>
        <family val="2"/>
        <scheme val="minor"/>
      </rPr>
      <t xml:space="preserve">                           </t>
    </r>
    <r>
      <rPr>
        <b/>
        <sz val="9"/>
        <color theme="1" tint="0.499984740745262"/>
        <rFont val="Calibri"/>
        <family val="2"/>
        <scheme val="minor"/>
      </rPr>
      <t>Nota #8</t>
    </r>
  </si>
  <si>
    <t>Utilidad o Excedente del Ejercicio</t>
  </si>
  <si>
    <t>Cierre de Ingresos, Gastos y Costos</t>
  </si>
  <si>
    <t>Aportres al ICBF y SENA</t>
  </si>
  <si>
    <t>Otros i ngresos diversos</t>
  </si>
  <si>
    <t>Prima de vacaciones</t>
  </si>
  <si>
    <t>Otros gastos</t>
  </si>
  <si>
    <t>Gastos diversos</t>
  </si>
  <si>
    <t>Otros intereses por cobrar</t>
  </si>
  <si>
    <t>Otros ingresos diversos</t>
  </si>
  <si>
    <t xml:space="preserve">Multas y Sanciones </t>
  </si>
  <si>
    <t xml:space="preserve">                                               Empresa Aguas del Chocó S.A ESP</t>
  </si>
  <si>
    <t xml:space="preserve">           Contador </t>
  </si>
  <si>
    <t xml:space="preserve">       T.P. 55085 - T</t>
  </si>
  <si>
    <t>Bonificacion de recreacion</t>
  </si>
  <si>
    <t>Elementos de aseo cafeteria y lavanderia</t>
  </si>
  <si>
    <t>Elemen tos de aseo, lavanderia y cafeteria</t>
  </si>
  <si>
    <t>gastos legales</t>
  </si>
  <si>
    <t>Equipo de comunicación</t>
  </si>
  <si>
    <t>Seguros generales</t>
  </si>
  <si>
    <t>Saldo del patrimonio a 31 de diciembre de 2021</t>
  </si>
  <si>
    <t>ESTADO DE SITUACION FINANCIERA COMPARATIVO</t>
  </si>
  <si>
    <t>%</t>
  </si>
  <si>
    <t>Bnonificaciones</t>
  </si>
  <si>
    <t>ESTADO DE RESULTADO COMPARATIVO</t>
  </si>
  <si>
    <t xml:space="preserve">Recuperaciones </t>
  </si>
  <si>
    <t xml:space="preserve">Contador </t>
  </si>
  <si>
    <t>Intereses de mora</t>
  </si>
  <si>
    <t>Devoluciones y descuentos (DB)</t>
  </si>
  <si>
    <t>Contribuciones, tasas e ingresos no tributarios</t>
  </si>
  <si>
    <t>Ingresos fiscales</t>
  </si>
  <si>
    <t>Cointribuciones, tasaa e ingresos no tributarios</t>
  </si>
  <si>
    <t xml:space="preserve"> EMPRESA AGUAS DEL CHOCÓ S.A.E.S.P</t>
  </si>
  <si>
    <t>EMPRESA AGUAS DEL CHOCÓ S.A.E.S.P</t>
  </si>
  <si>
    <t xml:space="preserve">   Contador - Empresa Aguas del Chocó S.A ESP</t>
  </si>
  <si>
    <t xml:space="preserve">             ACTIVADADES ORDINARIAS </t>
  </si>
  <si>
    <t>Otros gastos financieros</t>
  </si>
  <si>
    <t>Financieros</t>
  </si>
  <si>
    <t>COMPARATIVO</t>
  </si>
  <si>
    <t>LIBRO MAYOR Y BALANCE VIGENCIA 2022</t>
  </si>
  <si>
    <t>Otros Impuestos Departamentales (estampilla - ProDeporte)</t>
  </si>
  <si>
    <t>ANA MARIA CORDOBA LOZANO</t>
  </si>
  <si>
    <t>Sentencias</t>
  </si>
  <si>
    <t>Licencias</t>
  </si>
  <si>
    <t>Representante Legal</t>
  </si>
  <si>
    <t xml:space="preserve">Representante Legal. </t>
  </si>
  <si>
    <t>Representante Legal.</t>
  </si>
  <si>
    <t xml:space="preserve">                                                ANA MARIA CORDOBA LOZANO</t>
  </si>
  <si>
    <t xml:space="preserve"> ANA MARIA CORDOBA LOZANO</t>
  </si>
  <si>
    <t>Seguros</t>
  </si>
  <si>
    <t>Comisiones</t>
  </si>
  <si>
    <t>Otros ingresos financieros</t>
  </si>
  <si>
    <t xml:space="preserve"> </t>
  </si>
  <si>
    <t>Cuenta Corriente  Banco Av Villas (PDA) 530103340</t>
  </si>
  <si>
    <t>Banco Agrario de Colombia 3268</t>
  </si>
  <si>
    <t>Cuenta Corriente (banco de Bogota) Convenio Municipio de Union P. 979028206</t>
  </si>
  <si>
    <t>Cuenta Corriente (banco de Bogota) Convenio Municipio de Sipí 979032729</t>
  </si>
  <si>
    <t>Cuenta Corriente (banco de Bogota) Convenio Municipio de Lloró 979036555</t>
  </si>
  <si>
    <t>Cuenta Corriente Banco de Bogotá (Proyecto Comunidades Indigenas) 578-48358-8</t>
  </si>
  <si>
    <t>Cuenta Corriente Bancolombia (PDA) 536-63376628</t>
  </si>
  <si>
    <t>Cuenta Ahorros (Banco de Bogotá)  (Proyecto Comunidades Indigenas) 578-493884</t>
  </si>
  <si>
    <t>Cuenta Corriente Bancolombia (Aseguramiento) 536-90614141</t>
  </si>
  <si>
    <t>Cuenta Ahorros Banco Av Villas (Filtros) 530-100841</t>
  </si>
  <si>
    <t>Cuenta Corriente (banco de Bogota) Convenio Mupio Carmen del D. 979013844</t>
  </si>
  <si>
    <t>Cuenta Corriente (banco de Bogota) Convenio Municipio de Unguia 979018785</t>
  </si>
  <si>
    <t>Cuenta Corriente (banco de Bogota) Convenio Mupio Acandí 979013836</t>
  </si>
  <si>
    <t>Cpomisiones</t>
  </si>
  <si>
    <t>Otros gastos diversos</t>
  </si>
  <si>
    <t>DICIEMBRE 2022 - DICIEMBRE DE 2021</t>
  </si>
  <si>
    <t>Saldo del patrimonio a 31 de diciembre de 2022</t>
  </si>
  <si>
    <t>Variación Patrimonial a  diciembre de 2022</t>
  </si>
  <si>
    <t>A 31 DE DICIEMBRE DE 2022</t>
  </si>
  <si>
    <t xml:space="preserve"> A 31 DE DICIEMBRE DE 2022</t>
  </si>
  <si>
    <t>COMPARATIVO DICIEMBRE 2021 - DICIEMBRE 2022</t>
  </si>
  <si>
    <t>Revisor Fiscal</t>
  </si>
  <si>
    <t xml:space="preserve">                                        Revisor Fiscal</t>
  </si>
  <si>
    <t xml:space="preserve">                        Revisor Fiscal</t>
  </si>
  <si>
    <r>
      <t xml:space="preserve">EFECTIVO  </t>
    </r>
    <r>
      <rPr>
        <b/>
        <sz val="9"/>
        <rFont val="Times New Roman"/>
        <family val="1"/>
      </rPr>
      <t xml:space="preserve">                                                              </t>
    </r>
    <r>
      <rPr>
        <b/>
        <sz val="9"/>
        <color theme="1" tint="0.499984740745262"/>
        <rFont val="Times New Roman"/>
        <family val="1"/>
      </rPr>
      <t>Nota #3</t>
    </r>
  </si>
  <si>
    <r>
      <t xml:space="preserve">Cuentas por Pagar </t>
    </r>
    <r>
      <rPr>
        <b/>
        <sz val="9"/>
        <rFont val="Times New Roman"/>
        <family val="1"/>
      </rPr>
      <t xml:space="preserve">                                             </t>
    </r>
    <r>
      <rPr>
        <b/>
        <sz val="9"/>
        <color theme="1" tint="0.499984740745262"/>
        <rFont val="Times New Roman"/>
        <family val="1"/>
      </rPr>
      <t xml:space="preserve"> Nota #7</t>
    </r>
  </si>
  <si>
    <r>
      <t xml:space="preserve">PROPIEDADES PLANTA Y EQUIPO </t>
    </r>
    <r>
      <rPr>
        <b/>
        <sz val="9"/>
        <rFont val="Times New Roman"/>
        <family val="1"/>
      </rPr>
      <t xml:space="preserve">               </t>
    </r>
    <r>
      <rPr>
        <b/>
        <sz val="9"/>
        <color theme="1" tint="0.499984740745262"/>
        <rFont val="Times New Roman"/>
        <family val="1"/>
      </rPr>
      <t>Nota #5</t>
    </r>
  </si>
  <si>
    <r>
      <t>Patrimonio de Las Empresas</t>
    </r>
    <r>
      <rPr>
        <b/>
        <sz val="9"/>
        <rFont val="Times New Roman"/>
        <family val="1"/>
      </rPr>
      <t xml:space="preserve">                           </t>
    </r>
    <r>
      <rPr>
        <b/>
        <sz val="9"/>
        <color theme="1" tint="0.499984740745262"/>
        <rFont val="Times New Roman"/>
        <family val="1"/>
      </rPr>
      <t>Nota #8</t>
    </r>
  </si>
  <si>
    <r>
      <t xml:space="preserve">AVANCES Y ANTICIPOS ENTREGADOS         </t>
    </r>
    <r>
      <rPr>
        <b/>
        <sz val="9"/>
        <color theme="1" tint="0.499984740745262"/>
        <rFont val="Times New Roman"/>
        <family val="1"/>
      </rPr>
      <t>Nota #6</t>
    </r>
  </si>
  <si>
    <t>Saldo a 31 dic 2021</t>
  </si>
  <si>
    <t>Capital Fiscal</t>
  </si>
  <si>
    <t>1.1.10</t>
  </si>
  <si>
    <t>1.1.10.05</t>
  </si>
  <si>
    <t>1.3.84</t>
  </si>
  <si>
    <t>1.3.84.90</t>
  </si>
  <si>
    <t>1.6.65</t>
  </si>
  <si>
    <t>1.6.65.01</t>
  </si>
  <si>
    <t>1.6.65.02</t>
  </si>
  <si>
    <t>1.6.70</t>
  </si>
  <si>
    <t>1.6.70.01</t>
  </si>
  <si>
    <t>1.6.70.02</t>
  </si>
  <si>
    <t>1.6.75</t>
  </si>
  <si>
    <t>1.6.75.02</t>
  </si>
  <si>
    <t>1.6.85</t>
  </si>
  <si>
    <t>1.6.85.04</t>
  </si>
  <si>
    <t>1.6.85.06</t>
  </si>
  <si>
    <t>1.6.85.07</t>
  </si>
  <si>
    <t>1.6.85.08</t>
  </si>
  <si>
    <t>1.9.05</t>
  </si>
  <si>
    <t>1.9.05.01</t>
  </si>
  <si>
    <t>1.9.05.04</t>
  </si>
  <si>
    <t>1.9.06</t>
  </si>
  <si>
    <t>1.9.06.01</t>
  </si>
  <si>
    <t>1.9.06.04</t>
  </si>
  <si>
    <t>1.9.06.90</t>
  </si>
  <si>
    <t>Otros Impuestos Departamentales</t>
  </si>
  <si>
    <t>3.2.08</t>
  </si>
  <si>
    <t>Capital fiscal</t>
  </si>
  <si>
    <t>3.2.08.01</t>
  </si>
  <si>
    <t>3.2.30</t>
  </si>
  <si>
    <t>Perdida o deficit del ejercicio</t>
  </si>
  <si>
    <t>2.4.24</t>
  </si>
  <si>
    <t>2.4.24.11</t>
  </si>
  <si>
    <t>2.4.36</t>
  </si>
  <si>
    <t>2.4.36.03</t>
  </si>
  <si>
    <t>2.4.36.05</t>
  </si>
  <si>
    <t>2.4.36.06</t>
  </si>
  <si>
    <t>2.4.36.08</t>
  </si>
  <si>
    <t>2.4.36.15</t>
  </si>
  <si>
    <t>2.4.36.25</t>
  </si>
  <si>
    <t>2.4.36.26</t>
  </si>
  <si>
    <t>2.4.36.90</t>
  </si>
  <si>
    <t>2.4.40</t>
  </si>
  <si>
    <t>2.4.40.80</t>
  </si>
  <si>
    <t>2.4.90</t>
  </si>
  <si>
    <t>2.4.90.27</t>
  </si>
  <si>
    <t>2.4.90.28</t>
  </si>
  <si>
    <t>2.4.90.50</t>
  </si>
  <si>
    <t>2.4.90.54</t>
  </si>
  <si>
    <t>2.4.90.90</t>
  </si>
  <si>
    <t>2.5.11</t>
  </si>
  <si>
    <t>2.5.11.02</t>
  </si>
  <si>
    <t>2.5.11.03</t>
  </si>
  <si>
    <t>2.5.11.04</t>
  </si>
  <si>
    <t>2.5.11.05</t>
  </si>
  <si>
    <t>2.5.11.09</t>
  </si>
  <si>
    <t>2.5.11.23</t>
  </si>
  <si>
    <t>2.5.11.24</t>
  </si>
  <si>
    <t>3.2.30.01</t>
  </si>
  <si>
    <t>ACTIVOS</t>
  </si>
  <si>
    <t>PASIVOS</t>
  </si>
  <si>
    <t xml:space="preserve">       TOTAL PASIVO                   </t>
  </si>
  <si>
    <t>1.1.05</t>
  </si>
  <si>
    <t>1.1.05.01</t>
  </si>
  <si>
    <t>1.9.06.03</t>
  </si>
  <si>
    <t>VARIACION</t>
  </si>
  <si>
    <t xml:space="preserve">                                                   Representante Legal </t>
  </si>
  <si>
    <t>4.1.95</t>
  </si>
  <si>
    <t>4.1.95.02</t>
  </si>
  <si>
    <t>4.4.28</t>
  </si>
  <si>
    <t>4.4.28.02</t>
  </si>
  <si>
    <t>4.4.28.03</t>
  </si>
  <si>
    <t>4.8.02</t>
  </si>
  <si>
    <t>4.8.02.01</t>
  </si>
  <si>
    <t>4.8.02.23</t>
  </si>
  <si>
    <t>4.8.02.90</t>
  </si>
  <si>
    <t>4.8.08</t>
  </si>
  <si>
    <t>5.1.01</t>
  </si>
  <si>
    <t>5.1.01.01</t>
  </si>
  <si>
    <t>5.1.01.05</t>
  </si>
  <si>
    <t>5.1.01.19</t>
  </si>
  <si>
    <t>5.1.02</t>
  </si>
  <si>
    <t>5.1.02.16</t>
  </si>
  <si>
    <t>5.1.02.90</t>
  </si>
  <si>
    <t>5.1.03</t>
  </si>
  <si>
    <t>5.1.03.02</t>
  </si>
  <si>
    <t>5.1.03.03</t>
  </si>
  <si>
    <t>5.1.03.05</t>
  </si>
  <si>
    <t>5.1.04</t>
  </si>
  <si>
    <t>5.1.04.01</t>
  </si>
  <si>
    <t>5.1.04.02</t>
  </si>
  <si>
    <t>5.1.07</t>
  </si>
  <si>
    <t>5.1.07.01</t>
  </si>
  <si>
    <t>5.1.07.02</t>
  </si>
  <si>
    <t>5.1.07.03</t>
  </si>
  <si>
    <t>5.1.07.04</t>
  </si>
  <si>
    <t>5.1.07.05</t>
  </si>
  <si>
    <t>5.1.07.06</t>
  </si>
  <si>
    <t>5.1.08</t>
  </si>
  <si>
    <t>5.1.08.01</t>
  </si>
  <si>
    <t>5.1.08.02</t>
  </si>
  <si>
    <t>5.1.11</t>
  </si>
  <si>
    <t>5.1.11.14</t>
  </si>
  <si>
    <t>5.1.11.15</t>
  </si>
  <si>
    <t>5.1.11.17</t>
  </si>
  <si>
    <t>5.1.11.18</t>
  </si>
  <si>
    <t>5.1.11.19</t>
  </si>
  <si>
    <t>5.1.11.25</t>
  </si>
  <si>
    <t>5.1.11.46</t>
  </si>
  <si>
    <t>5.1.11.55</t>
  </si>
  <si>
    <t>5.1.11.64</t>
  </si>
  <si>
    <t>5.1.11.79</t>
  </si>
  <si>
    <t>5.1.11.90</t>
  </si>
  <si>
    <t>5.1.20</t>
  </si>
  <si>
    <t>5.1.20.11</t>
  </si>
  <si>
    <t>5.1.20.24</t>
  </si>
  <si>
    <t>5.8.90</t>
  </si>
  <si>
    <t>OTROS GASTOS</t>
  </si>
  <si>
    <t>5.9.05</t>
  </si>
  <si>
    <t>5.9.05.01</t>
  </si>
  <si>
    <t>CIERRE DE INGRESOS GASTOS Y COSTOS</t>
  </si>
  <si>
    <t>Cierre de ingresos gastos y costos</t>
  </si>
  <si>
    <t>5.8.90.12</t>
  </si>
  <si>
    <t>5.8.90.90</t>
  </si>
  <si>
    <t>4.8.08.26</t>
  </si>
  <si>
    <t>4.8.08.90</t>
  </si>
  <si>
    <t>5.1.20.17</t>
  </si>
  <si>
    <t>5.8.04</t>
  </si>
  <si>
    <t>5.8.04.90</t>
  </si>
  <si>
    <t>5.8.90.25</t>
  </si>
  <si>
    <t>DISMINUCION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</si>
</sst>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  <numFmt numFmtId="168" formatCode="#,##0_ ;\-#,##0\ "/>
    <numFmt numFmtId="169" formatCode="_-* #,##0\ _€_-;\-* #,##0\ _€_-;_-* &quot;-&quot;??\ _€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i/>
      <sz val="1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u/>
      <sz val="10"/>
      <name val="Century Gothic"/>
      <family val="2"/>
    </font>
    <font>
      <b/>
      <u/>
      <sz val="9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b/>
      <u val="singleAccounting"/>
      <sz val="9"/>
      <name val="Century Gothic"/>
      <family val="2"/>
    </font>
    <font>
      <b/>
      <i/>
      <sz val="8"/>
      <name val="Century Gothic"/>
      <family val="2"/>
    </font>
    <font>
      <b/>
      <i/>
      <sz val="9"/>
      <name val="Century Gothic"/>
      <family val="2"/>
    </font>
    <font>
      <sz val="9"/>
      <name val="Arial Unicode MS"/>
      <family val="2"/>
    </font>
    <font>
      <b/>
      <sz val="9"/>
      <name val="Arial Unicode MS"/>
      <family val="2"/>
    </font>
    <font>
      <b/>
      <sz val="8"/>
      <name val="Century Gothic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name val="Century Gothic"/>
      <family val="2"/>
    </font>
    <font>
      <i/>
      <sz val="8"/>
      <name val="Century Gothic"/>
      <family val="2"/>
    </font>
    <font>
      <sz val="11"/>
      <name val="Calibri"/>
      <family val="2"/>
      <scheme val="minor"/>
    </font>
    <font>
      <sz val="9"/>
      <color rgb="FF00B050"/>
      <name val="Century Gothic"/>
      <family val="2"/>
    </font>
    <font>
      <b/>
      <sz val="9"/>
      <color rgb="FF00B050"/>
      <name val="Century Gothic"/>
      <family val="2"/>
    </font>
    <font>
      <u/>
      <sz val="9"/>
      <color rgb="FF00B050"/>
      <name val="Century Gothic"/>
      <family val="2"/>
    </font>
    <font>
      <b/>
      <u/>
      <sz val="9"/>
      <color rgb="FF00B050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trike/>
      <sz val="8"/>
      <color theme="1"/>
      <name val="Century Gothic"/>
      <family val="2"/>
    </font>
    <font>
      <b/>
      <u/>
      <sz val="8"/>
      <name val="Century Gothic"/>
      <family val="2"/>
    </font>
    <font>
      <b/>
      <u/>
      <sz val="10"/>
      <color theme="1"/>
      <name val="Century Gothic"/>
      <family val="2"/>
    </font>
    <font>
      <u/>
      <sz val="9"/>
      <name val="Century Gothic"/>
      <family val="2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name val="Times New Roman"/>
      <family val="1"/>
    </font>
    <font>
      <b/>
      <sz val="9"/>
      <color theme="1" tint="0.499984740745262"/>
      <name val="Times New Roman"/>
      <family val="1"/>
    </font>
    <font>
      <sz val="9"/>
      <name val="Times New Roman"/>
      <family val="1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9">
    <xf numFmtId="0" fontId="0" fillId="0" borderId="0" xfId="0"/>
    <xf numFmtId="0" fontId="2" fillId="0" borderId="0" xfId="0" applyFont="1"/>
    <xf numFmtId="0" fontId="9" fillId="0" borderId="0" xfId="0" applyFont="1"/>
    <xf numFmtId="0" fontId="5" fillId="0" borderId="0" xfId="0" applyFont="1"/>
    <xf numFmtId="0" fontId="7" fillId="0" borderId="0" xfId="0" applyFont="1"/>
    <xf numFmtId="0" fontId="2" fillId="0" borderId="4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3" fontId="4" fillId="0" borderId="5" xfId="0" applyNumberFormat="1" applyFont="1" applyBorder="1" applyAlignment="1">
      <alignment horizontal="right"/>
    </xf>
    <xf numFmtId="0" fontId="2" fillId="0" borderId="8" xfId="0" applyFont="1" applyBorder="1"/>
    <xf numFmtId="3" fontId="9" fillId="0" borderId="0" xfId="0" applyNumberFormat="1" applyFont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/>
    <xf numFmtId="0" fontId="9" fillId="0" borderId="10" xfId="0" applyFont="1" applyBorder="1"/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5" xfId="0" applyNumberFormat="1" applyFont="1" applyBorder="1" applyAlignment="1">
      <alignment horizontal="right" wrapText="1"/>
    </xf>
    <xf numFmtId="0" fontId="9" fillId="0" borderId="4" xfId="0" applyFont="1" applyBorder="1" applyAlignment="1">
      <alignment horizontal="right"/>
    </xf>
    <xf numFmtId="0" fontId="2" fillId="0" borderId="7" xfId="0" applyFont="1" applyBorder="1"/>
    <xf numFmtId="0" fontId="9" fillId="0" borderId="7" xfId="0" applyFont="1" applyBorder="1" applyAlignment="1">
      <alignment horizontal="right"/>
    </xf>
    <xf numFmtId="0" fontId="12" fillId="0" borderId="0" xfId="0" applyFont="1"/>
    <xf numFmtId="0" fontId="10" fillId="0" borderId="0" xfId="0" applyFont="1"/>
    <xf numFmtId="167" fontId="9" fillId="0" borderId="0" xfId="1" applyNumberFormat="1" applyFont="1" applyFill="1"/>
    <xf numFmtId="167" fontId="9" fillId="0" borderId="0" xfId="1" applyNumberFormat="1" applyFont="1" applyFill="1" applyBorder="1"/>
    <xf numFmtId="0" fontId="17" fillId="0" borderId="4" xfId="0" applyFont="1" applyBorder="1"/>
    <xf numFmtId="0" fontId="9" fillId="0" borderId="4" xfId="0" applyFont="1" applyBorder="1"/>
    <xf numFmtId="167" fontId="10" fillId="0" borderId="0" xfId="1" applyNumberFormat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167" fontId="9" fillId="0" borderId="7" xfId="1" applyNumberFormat="1" applyFont="1" applyFill="1" applyBorder="1"/>
    <xf numFmtId="0" fontId="9" fillId="0" borderId="7" xfId="0" applyFont="1" applyBorder="1"/>
    <xf numFmtId="167" fontId="9" fillId="0" borderId="0" xfId="1" applyNumberFormat="1" applyFont="1" applyFill="1" applyBorder="1" applyAlignment="1">
      <alignment horizontal="left" vertical="center"/>
    </xf>
    <xf numFmtId="167" fontId="9" fillId="0" borderId="0" xfId="1" applyNumberFormat="1" applyFont="1" applyFill="1" applyBorder="1" applyAlignment="1">
      <alignment horizontal="left"/>
    </xf>
    <xf numFmtId="0" fontId="18" fillId="0" borderId="4" xfId="0" applyFont="1" applyBorder="1"/>
    <xf numFmtId="167" fontId="18" fillId="0" borderId="0" xfId="1" applyNumberFormat="1" applyFont="1" applyFill="1" applyBorder="1"/>
    <xf numFmtId="0" fontId="18" fillId="0" borderId="0" xfId="0" applyFont="1"/>
    <xf numFmtId="0" fontId="9" fillId="2" borderId="0" xfId="0" applyFont="1" applyFill="1"/>
    <xf numFmtId="0" fontId="10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/>
    </xf>
    <xf numFmtId="0" fontId="9" fillId="3" borderId="0" xfId="0" applyFont="1" applyFill="1"/>
    <xf numFmtId="0" fontId="2" fillId="2" borderId="0" xfId="0" applyFont="1" applyFill="1"/>
    <xf numFmtId="0" fontId="2" fillId="3" borderId="0" xfId="0" applyFont="1" applyFill="1"/>
    <xf numFmtId="0" fontId="22" fillId="0" borderId="0" xfId="0" applyFont="1"/>
    <xf numFmtId="0" fontId="10" fillId="2" borderId="0" xfId="0" applyFont="1" applyFill="1"/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left"/>
    </xf>
    <xf numFmtId="3" fontId="17" fillId="0" borderId="0" xfId="0" applyNumberFormat="1" applyFont="1" applyAlignment="1">
      <alignment horizontal="right"/>
    </xf>
    <xf numFmtId="0" fontId="6" fillId="0" borderId="0" xfId="0" applyFont="1"/>
    <xf numFmtId="0" fontId="9" fillId="0" borderId="15" xfId="0" applyFont="1" applyBorder="1" applyAlignment="1">
      <alignment horizontal="left"/>
    </xf>
    <xf numFmtId="3" fontId="24" fillId="0" borderId="5" xfId="0" applyNumberFormat="1" applyFont="1" applyBorder="1" applyAlignment="1">
      <alignment horizontal="right" wrapText="1"/>
    </xf>
    <xf numFmtId="3" fontId="25" fillId="0" borderId="5" xfId="0" applyNumberFormat="1" applyFont="1" applyBorder="1" applyAlignment="1">
      <alignment horizontal="right"/>
    </xf>
    <xf numFmtId="0" fontId="26" fillId="0" borderId="5" xfId="0" applyFont="1" applyBorder="1"/>
    <xf numFmtId="0" fontId="26" fillId="0" borderId="0" xfId="0" applyFont="1"/>
    <xf numFmtId="3" fontId="25" fillId="0" borderId="5" xfId="0" applyNumberFormat="1" applyFont="1" applyBorder="1" applyAlignment="1">
      <alignment horizontal="right" wrapText="1"/>
    </xf>
    <xf numFmtId="3" fontId="24" fillId="0" borderId="5" xfId="0" applyNumberFormat="1" applyFont="1" applyBorder="1" applyAlignment="1">
      <alignment horizontal="right"/>
    </xf>
    <xf numFmtId="168" fontId="28" fillId="0" borderId="5" xfId="1" applyNumberFormat="1" applyFont="1" applyFill="1" applyBorder="1" applyAlignment="1">
      <alignment horizontal="right"/>
    </xf>
    <xf numFmtId="168" fontId="25" fillId="0" borderId="5" xfId="1" applyNumberFormat="1" applyFont="1" applyFill="1" applyBorder="1" applyAlignment="1">
      <alignment horizontal="right" wrapText="1"/>
    </xf>
    <xf numFmtId="168" fontId="24" fillId="0" borderId="5" xfId="1" applyNumberFormat="1" applyFont="1" applyFill="1" applyBorder="1" applyAlignment="1">
      <alignment horizontal="right" wrapText="1"/>
    </xf>
    <xf numFmtId="3" fontId="28" fillId="3" borderId="3" xfId="0" applyNumberFormat="1" applyFont="1" applyFill="1" applyBorder="1"/>
    <xf numFmtId="3" fontId="24" fillId="2" borderId="5" xfId="0" applyNumberFormat="1" applyFont="1" applyFill="1" applyBorder="1" applyAlignment="1">
      <alignment horizontal="right" wrapText="1"/>
    </xf>
    <xf numFmtId="3" fontId="28" fillId="2" borderId="5" xfId="0" applyNumberFormat="1" applyFont="1" applyFill="1" applyBorder="1"/>
    <xf numFmtId="168" fontId="25" fillId="0" borderId="5" xfId="1" applyNumberFormat="1" applyFont="1" applyFill="1" applyBorder="1" applyAlignment="1">
      <alignment horizontal="right"/>
    </xf>
    <xf numFmtId="3" fontId="29" fillId="3" borderId="8" xfId="0" applyNumberFormat="1" applyFont="1" applyFill="1" applyBorder="1"/>
    <xf numFmtId="0" fontId="29" fillId="3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7" fillId="2" borderId="19" xfId="0" applyFont="1" applyFill="1" applyBorder="1" applyAlignment="1">
      <alignment horizontal="center"/>
    </xf>
    <xf numFmtId="164" fontId="9" fillId="0" borderId="10" xfId="1" applyNumberFormat="1" applyFont="1" applyFill="1" applyBorder="1" applyAlignment="1">
      <alignment vertical="center"/>
    </xf>
    <xf numFmtId="164" fontId="10" fillId="0" borderId="10" xfId="1" applyNumberFormat="1" applyFont="1" applyFill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9" fillId="0" borderId="10" xfId="0" applyNumberFormat="1" applyFont="1" applyBorder="1" applyAlignment="1">
      <alignment vertical="center" wrapText="1"/>
    </xf>
    <xf numFmtId="164" fontId="9" fillId="0" borderId="10" xfId="0" applyNumberFormat="1" applyFont="1" applyBorder="1" applyAlignment="1">
      <alignment vertical="center"/>
    </xf>
    <xf numFmtId="164" fontId="9" fillId="0" borderId="10" xfId="1" applyNumberFormat="1" applyFont="1" applyFill="1" applyBorder="1" applyAlignment="1">
      <alignment vertical="center" wrapText="1"/>
    </xf>
    <xf numFmtId="164" fontId="10" fillId="0" borderId="10" xfId="1" applyNumberFormat="1" applyFont="1" applyFill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2" borderId="10" xfId="1" applyNumberFormat="1" applyFont="1" applyFill="1" applyBorder="1" applyAlignment="1">
      <alignment vertical="center" wrapText="1"/>
    </xf>
    <xf numFmtId="164" fontId="10" fillId="2" borderId="10" xfId="1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/>
    </xf>
    <xf numFmtId="0" fontId="12" fillId="0" borderId="9" xfId="0" applyFont="1" applyBorder="1"/>
    <xf numFmtId="3" fontId="24" fillId="0" borderId="11" xfId="0" applyNumberFormat="1" applyFont="1" applyBorder="1" applyAlignment="1">
      <alignment horizontal="right" wrapText="1"/>
    </xf>
    <xf numFmtId="0" fontId="6" fillId="0" borderId="4" xfId="0" applyFont="1" applyBorder="1"/>
    <xf numFmtId="166" fontId="4" fillId="0" borderId="5" xfId="1" applyNumberFormat="1" applyFont="1" applyFill="1" applyBorder="1" applyAlignment="1">
      <alignment horizontal="right"/>
    </xf>
    <xf numFmtId="166" fontId="17" fillId="0" borderId="5" xfId="1" applyNumberFormat="1" applyFont="1" applyFill="1" applyBorder="1" applyAlignment="1">
      <alignment horizontal="right"/>
    </xf>
    <xf numFmtId="0" fontId="7" fillId="0" borderId="4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7" fillId="0" borderId="5" xfId="0" applyFont="1" applyBorder="1"/>
    <xf numFmtId="0" fontId="14" fillId="3" borderId="25" xfId="0" applyFont="1" applyFill="1" applyBorder="1"/>
    <xf numFmtId="166" fontId="8" fillId="3" borderId="20" xfId="0" applyNumberFormat="1" applyFont="1" applyFill="1" applyBorder="1"/>
    <xf numFmtId="166" fontId="10" fillId="0" borderId="27" xfId="1" applyNumberFormat="1" applyFont="1" applyFill="1" applyBorder="1" applyAlignment="1">
      <alignment horizontal="right"/>
    </xf>
    <xf numFmtId="166" fontId="9" fillId="0" borderId="27" xfId="1" applyNumberFormat="1" applyFont="1" applyFill="1" applyBorder="1" applyAlignment="1">
      <alignment horizontal="right"/>
    </xf>
    <xf numFmtId="3" fontId="8" fillId="2" borderId="27" xfId="0" applyNumberFormat="1" applyFont="1" applyFill="1" applyBorder="1" applyAlignment="1">
      <alignment horizontal="right"/>
    </xf>
    <xf numFmtId="3" fontId="5" fillId="0" borderId="27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3" fontId="10" fillId="0" borderId="27" xfId="0" applyNumberFormat="1" applyFont="1" applyBorder="1" applyAlignment="1">
      <alignment horizontal="right"/>
    </xf>
    <xf numFmtId="3" fontId="9" fillId="0" borderId="27" xfId="0" applyNumberFormat="1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15" xfId="0" applyFont="1" applyBorder="1" applyAlignment="1">
      <alignment horizontal="left"/>
    </xf>
    <xf numFmtId="164" fontId="10" fillId="0" borderId="15" xfId="1" applyNumberFormat="1" applyFont="1" applyFill="1" applyBorder="1" applyAlignment="1">
      <alignment vertical="center" wrapText="1"/>
    </xf>
    <xf numFmtId="164" fontId="10" fillId="0" borderId="15" xfId="0" applyNumberFormat="1" applyFont="1" applyBorder="1" applyAlignment="1">
      <alignment vertical="center"/>
    </xf>
    <xf numFmtId="0" fontId="10" fillId="0" borderId="31" xfId="0" applyFont="1" applyBorder="1" applyAlignment="1">
      <alignment horizontal="right"/>
    </xf>
    <xf numFmtId="0" fontId="10" fillId="0" borderId="32" xfId="0" applyFont="1" applyBorder="1" applyAlignment="1">
      <alignment horizontal="left"/>
    </xf>
    <xf numFmtId="164" fontId="10" fillId="0" borderId="32" xfId="1" applyNumberFormat="1" applyFont="1" applyFill="1" applyBorder="1" applyAlignment="1">
      <alignment vertical="center" wrapText="1"/>
    </xf>
    <xf numFmtId="164" fontId="15" fillId="0" borderId="10" xfId="0" applyNumberFormat="1" applyFont="1" applyBorder="1" applyAlignment="1">
      <alignment vertical="center" wrapText="1"/>
    </xf>
    <xf numFmtId="3" fontId="2" fillId="0" borderId="0" xfId="0" applyNumberFormat="1" applyFont="1"/>
    <xf numFmtId="164" fontId="10" fillId="5" borderId="10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/>
    </xf>
    <xf numFmtId="164" fontId="10" fillId="3" borderId="10" xfId="0" applyNumberFormat="1" applyFont="1" applyFill="1" applyBorder="1"/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6" xfId="0" applyFont="1" applyBorder="1"/>
    <xf numFmtId="169" fontId="9" fillId="0" borderId="0" xfId="1" applyNumberFormat="1" applyFont="1" applyFill="1" applyBorder="1" applyAlignment="1"/>
    <xf numFmtId="167" fontId="9" fillId="0" borderId="0" xfId="1" applyNumberFormat="1" applyFont="1" applyFill="1" applyBorder="1" applyAlignment="1">
      <alignment horizontal="right"/>
    </xf>
    <xf numFmtId="169" fontId="9" fillId="0" borderId="0" xfId="1" applyNumberFormat="1" applyFont="1" applyBorder="1" applyAlignment="1"/>
    <xf numFmtId="0" fontId="34" fillId="0" borderId="0" xfId="0" applyFont="1"/>
    <xf numFmtId="3" fontId="2" fillId="0" borderId="5" xfId="0" applyNumberFormat="1" applyFont="1" applyBorder="1"/>
    <xf numFmtId="0" fontId="2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5" fillId="0" borderId="29" xfId="0" applyFont="1" applyBorder="1" applyAlignment="1">
      <alignment horizontal="left" vertical="center"/>
    </xf>
    <xf numFmtId="3" fontId="25" fillId="0" borderId="36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left" vertical="center" wrapText="1"/>
    </xf>
    <xf numFmtId="3" fontId="28" fillId="0" borderId="5" xfId="0" applyNumberFormat="1" applyFont="1" applyBorder="1"/>
    <xf numFmtId="3" fontId="26" fillId="0" borderId="5" xfId="0" applyNumberFormat="1" applyFont="1" applyBorder="1"/>
    <xf numFmtId="3" fontId="24" fillId="0" borderId="0" xfId="0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3" fillId="0" borderId="1" xfId="0" applyFont="1" applyBorder="1" applyAlignment="1">
      <alignment horizontal="center"/>
    </xf>
    <xf numFmtId="0" fontId="41" fillId="0" borderId="0" xfId="0" applyFont="1"/>
    <xf numFmtId="0" fontId="42" fillId="0" borderId="5" xfId="0" applyFont="1" applyBorder="1" applyAlignment="1">
      <alignment vertical="center"/>
    </xf>
    <xf numFmtId="3" fontId="42" fillId="0" borderId="5" xfId="0" applyNumberFormat="1" applyFont="1" applyBorder="1" applyAlignment="1">
      <alignment horizontal="right" vertical="center"/>
    </xf>
    <xf numFmtId="3" fontId="42" fillId="0" borderId="8" xfId="0" applyNumberFormat="1" applyFont="1" applyBorder="1" applyAlignment="1">
      <alignment horizontal="right" vertical="center"/>
    </xf>
    <xf numFmtId="3" fontId="43" fillId="0" borderId="11" xfId="0" applyNumberFormat="1" applyFont="1" applyBorder="1" applyAlignment="1">
      <alignment horizontal="right" vertical="center"/>
    </xf>
    <xf numFmtId="0" fontId="44" fillId="0" borderId="0" xfId="0" applyFont="1" applyAlignment="1">
      <alignment horizontal="center"/>
    </xf>
    <xf numFmtId="0" fontId="43" fillId="0" borderId="5" xfId="0" applyFont="1" applyBorder="1" applyAlignment="1">
      <alignment horizontal="center" vertical="center"/>
    </xf>
    <xf numFmtId="3" fontId="43" fillId="0" borderId="5" xfId="0" applyNumberFormat="1" applyFont="1" applyBorder="1" applyAlignment="1">
      <alignment horizontal="right" vertical="center"/>
    </xf>
    <xf numFmtId="3" fontId="42" fillId="0" borderId="29" xfId="0" applyNumberFormat="1" applyFont="1" applyBorder="1" applyAlignment="1">
      <alignment horizontal="right" vertical="center"/>
    </xf>
    <xf numFmtId="0" fontId="45" fillId="0" borderId="0" xfId="0" applyFont="1" applyAlignment="1">
      <alignment horizontal="center"/>
    </xf>
    <xf numFmtId="0" fontId="10" fillId="0" borderId="3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164" fontId="9" fillId="0" borderId="10" xfId="0" applyNumberFormat="1" applyFont="1" applyBorder="1"/>
    <xf numFmtId="3" fontId="10" fillId="3" borderId="10" xfId="0" applyNumberFormat="1" applyFont="1" applyFill="1" applyBorder="1" applyAlignment="1">
      <alignment horizontal="right" vertical="center"/>
    </xf>
    <xf numFmtId="3" fontId="10" fillId="3" borderId="16" xfId="0" applyNumberFormat="1" applyFont="1" applyFill="1" applyBorder="1" applyAlignment="1">
      <alignment horizontal="right" vertical="center"/>
    </xf>
    <xf numFmtId="166" fontId="5" fillId="2" borderId="27" xfId="1" applyNumberFormat="1" applyFont="1" applyFill="1" applyBorder="1"/>
    <xf numFmtId="0" fontId="4" fillId="0" borderId="27" xfId="0" applyFont="1" applyBorder="1"/>
    <xf numFmtId="166" fontId="4" fillId="0" borderId="27" xfId="1" applyNumberFormat="1" applyFont="1" applyFill="1" applyBorder="1"/>
    <xf numFmtId="164" fontId="9" fillId="0" borderId="19" xfId="0" applyNumberFormat="1" applyFont="1" applyBorder="1" applyAlignment="1">
      <alignment vertical="center" wrapText="1"/>
    </xf>
    <xf numFmtId="164" fontId="9" fillId="0" borderId="19" xfId="1" applyNumberFormat="1" applyFont="1" applyFill="1" applyBorder="1" applyAlignment="1">
      <alignment vertical="center"/>
    </xf>
    <xf numFmtId="164" fontId="9" fillId="0" borderId="37" xfId="0" applyNumberFormat="1" applyFont="1" applyBorder="1"/>
    <xf numFmtId="0" fontId="2" fillId="0" borderId="1" xfId="0" applyFont="1" applyBorder="1"/>
    <xf numFmtId="0" fontId="5" fillId="0" borderId="3" xfId="0" applyFont="1" applyBorder="1"/>
    <xf numFmtId="0" fontId="41" fillId="0" borderId="0" xfId="0" applyFont="1" applyAlignment="1">
      <alignment horizontal="center" wrapText="1"/>
    </xf>
    <xf numFmtId="0" fontId="42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17" fillId="2" borderId="16" xfId="0" applyFont="1" applyFill="1" applyBorder="1" applyAlignment="1">
      <alignment horizontal="center"/>
    </xf>
    <xf numFmtId="164" fontId="10" fillId="0" borderId="16" xfId="0" applyNumberFormat="1" applyFont="1" applyBorder="1" applyAlignment="1">
      <alignment vertical="center" wrapText="1"/>
    </xf>
    <xf numFmtId="164" fontId="10" fillId="0" borderId="16" xfId="1" applyNumberFormat="1" applyFont="1" applyFill="1" applyBorder="1" applyAlignment="1">
      <alignment vertical="center" wrapText="1"/>
    </xf>
    <xf numFmtId="164" fontId="9" fillId="0" borderId="16" xfId="1" applyNumberFormat="1" applyFont="1" applyFill="1" applyBorder="1" applyAlignment="1">
      <alignment vertical="center"/>
    </xf>
    <xf numFmtId="164" fontId="9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164" fontId="10" fillId="2" borderId="16" xfId="1" applyNumberFormat="1" applyFont="1" applyFill="1" applyBorder="1" applyAlignment="1">
      <alignment vertical="center" wrapText="1"/>
    </xf>
    <xf numFmtId="164" fontId="10" fillId="0" borderId="16" xfId="1" applyNumberFormat="1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vertical="center"/>
    </xf>
    <xf numFmtId="164" fontId="9" fillId="0" borderId="16" xfId="1" applyNumberFormat="1" applyFont="1" applyFill="1" applyBorder="1" applyAlignment="1">
      <alignment vertical="center" wrapText="1"/>
    </xf>
    <xf numFmtId="164" fontId="10" fillId="0" borderId="21" xfId="0" applyNumberFormat="1" applyFont="1" applyBorder="1" applyAlignment="1">
      <alignment vertical="center"/>
    </xf>
    <xf numFmtId="164" fontId="10" fillId="0" borderId="41" xfId="0" applyNumberFormat="1" applyFont="1" applyBorder="1" applyAlignment="1">
      <alignment vertical="center"/>
    </xf>
    <xf numFmtId="3" fontId="9" fillId="0" borderId="5" xfId="0" applyNumberFormat="1" applyFont="1" applyBorder="1"/>
    <xf numFmtId="0" fontId="9" fillId="0" borderId="5" xfId="0" applyFont="1" applyBorder="1"/>
    <xf numFmtId="0" fontId="9" fillId="0" borderId="8" xfId="0" applyFont="1" applyBorder="1"/>
    <xf numFmtId="164" fontId="39" fillId="0" borderId="16" xfId="0" applyNumberFormat="1" applyFont="1" applyBorder="1" applyAlignment="1">
      <alignment vertical="center"/>
    </xf>
    <xf numFmtId="164" fontId="10" fillId="3" borderId="10" xfId="1" applyNumberFormat="1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vertical="center"/>
    </xf>
    <xf numFmtId="164" fontId="10" fillId="3" borderId="10" xfId="1" applyNumberFormat="1" applyFont="1" applyFill="1" applyBorder="1" applyAlignment="1">
      <alignment vertical="center" wrapText="1"/>
    </xf>
    <xf numFmtId="4" fontId="46" fillId="0" borderId="2" xfId="0" applyNumberFormat="1" applyFont="1" applyBorder="1" applyAlignment="1">
      <alignment horizontal="right"/>
    </xf>
    <xf numFmtId="4" fontId="20" fillId="3" borderId="25" xfId="0" applyNumberFormat="1" applyFont="1" applyFill="1" applyBorder="1" applyAlignment="1">
      <alignment horizontal="right"/>
    </xf>
    <xf numFmtId="4" fontId="20" fillId="2" borderId="26" xfId="1" applyNumberFormat="1" applyFont="1" applyFill="1" applyBorder="1" applyAlignment="1">
      <alignment horizontal="right"/>
    </xf>
    <xf numFmtId="4" fontId="41" fillId="0" borderId="26" xfId="0" applyNumberFormat="1" applyFont="1" applyBorder="1" applyAlignment="1">
      <alignment horizontal="right"/>
    </xf>
    <xf numFmtId="4" fontId="20" fillId="0" borderId="26" xfId="1" applyNumberFormat="1" applyFont="1" applyFill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33" fillId="0" borderId="26" xfId="1" applyNumberFormat="1" applyFont="1" applyFill="1" applyBorder="1" applyAlignment="1">
      <alignment horizontal="right"/>
    </xf>
    <xf numFmtId="4" fontId="48" fillId="0" borderId="26" xfId="0" applyNumberFormat="1" applyFont="1" applyBorder="1" applyAlignment="1">
      <alignment horizontal="right"/>
    </xf>
    <xf numFmtId="4" fontId="20" fillId="0" borderId="26" xfId="0" applyNumberFormat="1" applyFont="1" applyBorder="1" applyAlignment="1">
      <alignment horizontal="right"/>
    </xf>
    <xf numFmtId="4" fontId="44" fillId="0" borderId="26" xfId="0" applyNumberFormat="1" applyFont="1" applyBorder="1" applyAlignment="1">
      <alignment horizontal="right"/>
    </xf>
    <xf numFmtId="4" fontId="20" fillId="4" borderId="26" xfId="0" applyNumberFormat="1" applyFont="1" applyFill="1" applyBorder="1"/>
    <xf numFmtId="0" fontId="2" fillId="0" borderId="2" xfId="0" applyFont="1" applyBorder="1"/>
    <xf numFmtId="4" fontId="41" fillId="0" borderId="2" xfId="0" applyNumberFormat="1" applyFont="1" applyBorder="1" applyAlignment="1">
      <alignment horizontal="right"/>
    </xf>
    <xf numFmtId="0" fontId="5" fillId="0" borderId="27" xfId="0" applyFont="1" applyBorder="1"/>
    <xf numFmtId="4" fontId="41" fillId="0" borderId="0" xfId="0" applyNumberFormat="1" applyFont="1" applyAlignment="1">
      <alignment horizontal="right"/>
    </xf>
    <xf numFmtId="4" fontId="47" fillId="0" borderId="0" xfId="0" applyNumberFormat="1" applyFont="1" applyAlignment="1">
      <alignment horizontal="center"/>
    </xf>
    <xf numFmtId="4" fontId="5" fillId="0" borderId="0" xfId="0" applyNumberFormat="1" applyFont="1"/>
    <xf numFmtId="4" fontId="2" fillId="0" borderId="0" xfId="0" applyNumberFormat="1" applyFont="1"/>
    <xf numFmtId="4" fontId="26" fillId="0" borderId="0" xfId="0" applyNumberFormat="1" applyFont="1"/>
    <xf numFmtId="4" fontId="22" fillId="0" borderId="0" xfId="0" applyNumberFormat="1" applyFont="1"/>
    <xf numFmtId="4" fontId="20" fillId="3" borderId="34" xfId="0" applyNumberFormat="1" applyFont="1" applyFill="1" applyBorder="1"/>
    <xf numFmtId="0" fontId="46" fillId="0" borderId="1" xfId="0" applyFont="1" applyBorder="1"/>
    <xf numFmtId="0" fontId="46" fillId="0" borderId="2" xfId="0" applyFont="1" applyBorder="1"/>
    <xf numFmtId="0" fontId="46" fillId="0" borderId="3" xfId="0" applyFont="1" applyBorder="1"/>
    <xf numFmtId="0" fontId="46" fillId="0" borderId="4" xfId="0" applyFont="1" applyBorder="1"/>
    <xf numFmtId="0" fontId="46" fillId="0" borderId="41" xfId="0" applyFont="1" applyBorder="1"/>
    <xf numFmtId="0" fontId="41" fillId="0" borderId="25" xfId="0" applyFont="1" applyBorder="1"/>
    <xf numFmtId="0" fontId="20" fillId="3" borderId="25" xfId="0" applyFont="1" applyFill="1" applyBorder="1"/>
    <xf numFmtId="3" fontId="20" fillId="3" borderId="15" xfId="0" applyNumberFormat="1" applyFont="1" applyFill="1" applyBorder="1" applyAlignment="1">
      <alignment horizontal="right"/>
    </xf>
    <xf numFmtId="166" fontId="20" fillId="3" borderId="20" xfId="0" applyNumberFormat="1" applyFont="1" applyFill="1" applyBorder="1"/>
    <xf numFmtId="3" fontId="20" fillId="2" borderId="32" xfId="1" applyNumberFormat="1" applyFont="1" applyFill="1" applyBorder="1" applyAlignment="1">
      <alignment horizontal="right"/>
    </xf>
    <xf numFmtId="3" fontId="20" fillId="0" borderId="32" xfId="0" applyNumberFormat="1" applyFont="1" applyBorder="1" applyAlignment="1">
      <alignment horizontal="right"/>
    </xf>
    <xf numFmtId="3" fontId="32" fillId="0" borderId="32" xfId="0" applyNumberFormat="1" applyFont="1" applyBorder="1" applyAlignment="1">
      <alignment horizontal="right"/>
    </xf>
    <xf numFmtId="0" fontId="48" fillId="0" borderId="0" xfId="0" applyFont="1" applyAlignment="1">
      <alignment horizontal="left"/>
    </xf>
    <xf numFmtId="3" fontId="20" fillId="0" borderId="32" xfId="1" applyNumberFormat="1" applyFont="1" applyFill="1" applyBorder="1" applyAlignment="1">
      <alignment horizontal="right"/>
    </xf>
    <xf numFmtId="166" fontId="20" fillId="0" borderId="27" xfId="1" applyNumberFormat="1" applyFont="1" applyFill="1" applyBorder="1" applyAlignment="1">
      <alignment horizontal="right"/>
    </xf>
    <xf numFmtId="166" fontId="20" fillId="0" borderId="0" xfId="1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6" fontId="32" fillId="0" borderId="27" xfId="1" applyNumberFormat="1" applyFont="1" applyFill="1" applyBorder="1" applyAlignment="1">
      <alignment horizontal="right"/>
    </xf>
    <xf numFmtId="166" fontId="32" fillId="0" borderId="0" xfId="1" applyNumberFormat="1" applyFont="1" applyFill="1" applyBorder="1" applyAlignment="1">
      <alignment horizontal="right"/>
    </xf>
    <xf numFmtId="4" fontId="20" fillId="0" borderId="32" xfId="1" applyNumberFormat="1" applyFont="1" applyFill="1" applyBorder="1" applyAlignment="1">
      <alignment horizontal="right"/>
    </xf>
    <xf numFmtId="166" fontId="32" fillId="0" borderId="27" xfId="1" applyNumberFormat="1" applyFont="1" applyFill="1" applyBorder="1"/>
    <xf numFmtId="166" fontId="41" fillId="0" borderId="0" xfId="1" applyNumberFormat="1" applyFont="1" applyFill="1" applyBorder="1"/>
    <xf numFmtId="0" fontId="20" fillId="2" borderId="0" xfId="0" applyFont="1" applyFill="1" applyAlignment="1">
      <alignment horizontal="left"/>
    </xf>
    <xf numFmtId="3" fontId="20" fillId="2" borderId="32" xfId="0" applyNumberFormat="1" applyFont="1" applyFill="1" applyBorder="1" applyAlignment="1">
      <alignment horizontal="right"/>
    </xf>
    <xf numFmtId="3" fontId="20" fillId="0" borderId="27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48" fillId="0" borderId="32" xfId="0" applyNumberFormat="1" applyFont="1" applyBorder="1" applyAlignment="1">
      <alignment horizontal="right"/>
    </xf>
    <xf numFmtId="3" fontId="48" fillId="0" borderId="27" xfId="0" applyNumberFormat="1" applyFont="1" applyBorder="1" applyAlignment="1">
      <alignment horizontal="right"/>
    </xf>
    <xf numFmtId="3" fontId="48" fillId="0" borderId="0" xfId="0" applyNumberFormat="1" applyFont="1" applyAlignment="1">
      <alignment horizontal="right"/>
    </xf>
    <xf numFmtId="3" fontId="32" fillId="0" borderId="27" xfId="0" applyNumberFormat="1" applyFont="1" applyBorder="1" applyAlignment="1">
      <alignment horizontal="right"/>
    </xf>
    <xf numFmtId="0" fontId="32" fillId="0" borderId="0" xfId="0" applyFont="1"/>
    <xf numFmtId="0" fontId="20" fillId="0" borderId="0" xfId="0" applyFont="1"/>
    <xf numFmtId="3" fontId="20" fillId="4" borderId="32" xfId="0" applyNumberFormat="1" applyFont="1" applyFill="1" applyBorder="1" applyAlignment="1">
      <alignment horizontal="right"/>
    </xf>
    <xf numFmtId="3" fontId="20" fillId="4" borderId="27" xfId="0" applyNumberFormat="1" applyFont="1" applyFill="1" applyBorder="1"/>
    <xf numFmtId="3" fontId="20" fillId="4" borderId="0" xfId="0" applyNumberFormat="1" applyFont="1" applyFill="1"/>
    <xf numFmtId="0" fontId="44" fillId="4" borderId="0" xfId="0" applyFont="1" applyFill="1" applyAlignment="1">
      <alignment horizontal="center"/>
    </xf>
    <xf numFmtId="0" fontId="46" fillId="0" borderId="6" xfId="0" applyFont="1" applyBorder="1"/>
    <xf numFmtId="3" fontId="20" fillId="3" borderId="56" xfId="0" applyNumberFormat="1" applyFont="1" applyFill="1" applyBorder="1" applyAlignment="1">
      <alignment horizontal="right"/>
    </xf>
    <xf numFmtId="3" fontId="20" fillId="3" borderId="57" xfId="0" applyNumberFormat="1" applyFont="1" applyFill="1" applyBorder="1"/>
    <xf numFmtId="3" fontId="20" fillId="3" borderId="7" xfId="0" applyNumberFormat="1" applyFont="1" applyFill="1" applyBorder="1"/>
    <xf numFmtId="0" fontId="46" fillId="0" borderId="53" xfId="0" applyFont="1" applyBorder="1"/>
    <xf numFmtId="0" fontId="24" fillId="3" borderId="2" xfId="0" applyFont="1" applyFill="1" applyBorder="1" applyAlignment="1">
      <alignment horizontal="left"/>
    </xf>
    <xf numFmtId="168" fontId="24" fillId="3" borderId="3" xfId="1" applyNumberFormat="1" applyFont="1" applyFill="1" applyBorder="1" applyAlignment="1">
      <alignment horizontal="right"/>
    </xf>
    <xf numFmtId="0" fontId="9" fillId="0" borderId="29" xfId="0" applyFont="1" applyBorder="1" applyAlignment="1">
      <alignment horizontal="left"/>
    </xf>
    <xf numFmtId="166" fontId="9" fillId="0" borderId="30" xfId="1" applyNumberFormat="1" applyFont="1" applyFill="1" applyBorder="1" applyAlignment="1">
      <alignment horizontal="right"/>
    </xf>
    <xf numFmtId="0" fontId="12" fillId="0" borderId="15" xfId="0" applyFont="1" applyBorder="1" applyAlignment="1">
      <alignment horizontal="left"/>
    </xf>
    <xf numFmtId="0" fontId="50" fillId="0" borderId="15" xfId="0" applyFont="1" applyBorder="1" applyAlignment="1">
      <alignment horizontal="left"/>
    </xf>
    <xf numFmtId="0" fontId="9" fillId="0" borderId="14" xfId="0" applyFont="1" applyBorder="1" applyAlignment="1">
      <alignment horizontal="right"/>
    </xf>
    <xf numFmtId="3" fontId="32" fillId="0" borderId="0" xfId="1" applyNumberFormat="1" applyFont="1" applyFill="1" applyBorder="1" applyAlignment="1">
      <alignment horizontal="right"/>
    </xf>
    <xf numFmtId="4" fontId="20" fillId="0" borderId="32" xfId="0" applyNumberFormat="1" applyFont="1" applyBorder="1" applyAlignment="1">
      <alignment horizontal="right"/>
    </xf>
    <xf numFmtId="0" fontId="0" fillId="0" borderId="2" xfId="0" applyBorder="1"/>
    <xf numFmtId="164" fontId="40" fillId="0" borderId="10" xfId="1" applyNumberFormat="1" applyFont="1" applyFill="1" applyBorder="1" applyAlignment="1">
      <alignment vertical="center" wrapText="1"/>
    </xf>
    <xf numFmtId="164" fontId="39" fillId="0" borderId="10" xfId="0" applyNumberFormat="1" applyFont="1" applyBorder="1" applyAlignment="1">
      <alignment vertical="center" wrapText="1"/>
    </xf>
    <xf numFmtId="164" fontId="40" fillId="0" borderId="10" xfId="0" applyNumberFormat="1" applyFont="1" applyBorder="1" applyAlignment="1">
      <alignment vertical="center" wrapText="1"/>
    </xf>
    <xf numFmtId="164" fontId="39" fillId="0" borderId="10" xfId="0" applyNumberFormat="1" applyFont="1" applyBorder="1" applyAlignment="1">
      <alignment vertical="center"/>
    </xf>
    <xf numFmtId="164" fontId="40" fillId="0" borderId="10" xfId="0" applyNumberFormat="1" applyFont="1" applyBorder="1" applyAlignment="1">
      <alignment vertical="center"/>
    </xf>
    <xf numFmtId="3" fontId="39" fillId="0" borderId="0" xfId="0" applyNumberFormat="1" applyFont="1"/>
    <xf numFmtId="0" fontId="39" fillId="0" borderId="0" xfId="0" applyFont="1"/>
    <xf numFmtId="0" fontId="39" fillId="0" borderId="7" xfId="0" applyFont="1" applyBorder="1" applyAlignment="1">
      <alignment horizontal="right"/>
    </xf>
    <xf numFmtId="0" fontId="39" fillId="0" borderId="7" xfId="0" applyFont="1" applyBorder="1"/>
    <xf numFmtId="0" fontId="10" fillId="2" borderId="2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0" fillId="0" borderId="0" xfId="0" applyNumberFormat="1"/>
    <xf numFmtId="3" fontId="26" fillId="0" borderId="0" xfId="0" applyNumberFormat="1" applyFont="1"/>
    <xf numFmtId="164" fontId="39" fillId="6" borderId="10" xfId="1" applyNumberFormat="1" applyFont="1" applyFill="1" applyBorder="1" applyAlignment="1">
      <alignment vertical="center"/>
    </xf>
    <xf numFmtId="0" fontId="39" fillId="0" borderId="9" xfId="0" applyFont="1" applyBorder="1" applyAlignment="1">
      <alignment horizontal="right" vertical="center"/>
    </xf>
    <xf numFmtId="164" fontId="39" fillId="0" borderId="10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/>
    <xf numFmtId="0" fontId="52" fillId="3" borderId="2" xfId="0" applyFont="1" applyFill="1" applyBorder="1" applyAlignment="1">
      <alignment horizontal="center"/>
    </xf>
    <xf numFmtId="4" fontId="54" fillId="3" borderId="3" xfId="0" applyNumberFormat="1" applyFont="1" applyFill="1" applyBorder="1"/>
    <xf numFmtId="0" fontId="52" fillId="3" borderId="0" xfId="0" applyFont="1" applyFill="1" applyAlignment="1">
      <alignment horizontal="center"/>
    </xf>
    <xf numFmtId="4" fontId="54" fillId="3" borderId="5" xfId="0" applyNumberFormat="1" applyFont="1" applyFill="1" applyBorder="1"/>
    <xf numFmtId="0" fontId="52" fillId="3" borderId="7" xfId="0" applyFont="1" applyFill="1" applyBorder="1" applyAlignment="1">
      <alignment horizontal="center"/>
    </xf>
    <xf numFmtId="4" fontId="54" fillId="3" borderId="8" xfId="0" applyNumberFormat="1" applyFont="1" applyFill="1" applyBorder="1"/>
    <xf numFmtId="0" fontId="54" fillId="0" borderId="2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4" fontId="54" fillId="0" borderId="39" xfId="0" applyNumberFormat="1" applyFont="1" applyBorder="1"/>
    <xf numFmtId="0" fontId="55" fillId="0" borderId="42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43" xfId="0" applyFont="1" applyBorder="1" applyAlignment="1">
      <alignment horizontal="center"/>
    </xf>
    <xf numFmtId="4" fontId="55" fillId="0" borderId="43" xfId="0" applyNumberFormat="1" applyFont="1" applyBorder="1" applyAlignment="1">
      <alignment horizontal="center"/>
    </xf>
    <xf numFmtId="3" fontId="55" fillId="3" borderId="44" xfId="0" applyNumberFormat="1" applyFont="1" applyFill="1" applyBorder="1" applyAlignment="1">
      <alignment horizontal="right"/>
    </xf>
    <xf numFmtId="3" fontId="55" fillId="3" borderId="5" xfId="0" applyNumberFormat="1" applyFont="1" applyFill="1" applyBorder="1"/>
    <xf numFmtId="3" fontId="55" fillId="3" borderId="1" xfId="0" applyNumberFormat="1" applyFont="1" applyFill="1" applyBorder="1" applyAlignment="1">
      <alignment horizontal="right"/>
    </xf>
    <xf numFmtId="4" fontId="55" fillId="3" borderId="41" xfId="0" applyNumberFormat="1" applyFont="1" applyFill="1" applyBorder="1"/>
    <xf numFmtId="3" fontId="55" fillId="3" borderId="44" xfId="0" applyNumberFormat="1" applyFont="1" applyFill="1" applyBorder="1"/>
    <xf numFmtId="3" fontId="55" fillId="3" borderId="3" xfId="0" applyNumberFormat="1" applyFont="1" applyFill="1" applyBorder="1"/>
    <xf numFmtId="3" fontId="55" fillId="3" borderId="2" xfId="0" applyNumberFormat="1" applyFont="1" applyFill="1" applyBorder="1"/>
    <xf numFmtId="3" fontId="55" fillId="3" borderId="45" xfId="0" applyNumberFormat="1" applyFont="1" applyFill="1" applyBorder="1"/>
    <xf numFmtId="3" fontId="52" fillId="2" borderId="46" xfId="0" applyNumberFormat="1" applyFont="1" applyFill="1" applyBorder="1" applyAlignment="1">
      <alignment horizontal="right" wrapText="1"/>
    </xf>
    <xf numFmtId="3" fontId="52" fillId="2" borderId="5" xfId="0" applyNumberFormat="1" applyFont="1" applyFill="1" applyBorder="1" applyAlignment="1">
      <alignment horizontal="right" wrapText="1"/>
    </xf>
    <xf numFmtId="3" fontId="52" fillId="2" borderId="4" xfId="0" applyNumberFormat="1" applyFont="1" applyFill="1" applyBorder="1" applyAlignment="1">
      <alignment horizontal="right" wrapText="1"/>
    </xf>
    <xf numFmtId="4" fontId="52" fillId="2" borderId="41" xfId="0" applyNumberFormat="1" applyFont="1" applyFill="1" applyBorder="1" applyAlignment="1">
      <alignment horizontal="right" wrapText="1"/>
    </xf>
    <xf numFmtId="3" fontId="55" fillId="2" borderId="46" xfId="0" applyNumberFormat="1" applyFont="1" applyFill="1" applyBorder="1"/>
    <xf numFmtId="3" fontId="55" fillId="2" borderId="4" xfId="0" applyNumberFormat="1" applyFont="1" applyFill="1" applyBorder="1"/>
    <xf numFmtId="3" fontId="55" fillId="2" borderId="41" xfId="0" applyNumberFormat="1" applyFont="1" applyFill="1" applyBorder="1"/>
    <xf numFmtId="0" fontId="56" fillId="0" borderId="41" xfId="0" applyFont="1" applyBorder="1" applyAlignment="1">
      <alignment horizontal="left" vertical="center"/>
    </xf>
    <xf numFmtId="3" fontId="52" fillId="0" borderId="47" xfId="0" applyNumberFormat="1" applyFont="1" applyBorder="1" applyAlignment="1">
      <alignment horizontal="right" wrapText="1"/>
    </xf>
    <xf numFmtId="3" fontId="52" fillId="0" borderId="11" xfId="0" applyNumberFormat="1" applyFont="1" applyBorder="1" applyAlignment="1">
      <alignment horizontal="right" wrapText="1"/>
    </xf>
    <xf numFmtId="3" fontId="52" fillId="0" borderId="48" xfId="0" applyNumberFormat="1" applyFont="1" applyBorder="1" applyAlignment="1">
      <alignment horizontal="right" wrapText="1"/>
    </xf>
    <xf numFmtId="4" fontId="52" fillId="0" borderId="49" xfId="0" applyNumberFormat="1" applyFont="1" applyBorder="1" applyAlignment="1">
      <alignment horizontal="right" wrapText="1"/>
    </xf>
    <xf numFmtId="3" fontId="52" fillId="0" borderId="50" xfId="0" applyNumberFormat="1" applyFont="1" applyBorder="1" applyAlignment="1">
      <alignment horizontal="right" wrapText="1"/>
    </xf>
    <xf numFmtId="3" fontId="52" fillId="0" borderId="49" xfId="0" applyNumberFormat="1" applyFont="1" applyBorder="1" applyAlignment="1">
      <alignment horizontal="right" wrapText="1"/>
    </xf>
    <xf numFmtId="0" fontId="52" fillId="0" borderId="41" xfId="0" applyFont="1" applyBorder="1" applyAlignment="1">
      <alignment horizontal="left" vertical="center"/>
    </xf>
    <xf numFmtId="3" fontId="52" fillId="0" borderId="51" xfId="0" applyNumberFormat="1" applyFont="1" applyBorder="1" applyAlignment="1">
      <alignment horizontal="right" wrapText="1"/>
    </xf>
    <xf numFmtId="3" fontId="52" fillId="0" borderId="5" xfId="0" applyNumberFormat="1" applyFont="1" applyBorder="1" applyAlignment="1">
      <alignment horizontal="right" wrapText="1"/>
    </xf>
    <xf numFmtId="3" fontId="52" fillId="0" borderId="0" xfId="0" applyNumberFormat="1" applyFont="1" applyAlignment="1">
      <alignment horizontal="right" wrapText="1"/>
    </xf>
    <xf numFmtId="0" fontId="58" fillId="0" borderId="41" xfId="0" applyFont="1" applyBorder="1" applyAlignment="1">
      <alignment horizontal="left" vertical="center"/>
    </xf>
    <xf numFmtId="3" fontId="58" fillId="0" borderId="46" xfId="0" applyNumberFormat="1" applyFont="1" applyBorder="1" applyAlignment="1">
      <alignment horizontal="right" vertical="center"/>
    </xf>
    <xf numFmtId="3" fontId="58" fillId="0" borderId="5" xfId="0" applyNumberFormat="1" applyFont="1" applyBorder="1" applyAlignment="1">
      <alignment horizontal="right"/>
    </xf>
    <xf numFmtId="3" fontId="58" fillId="0" borderId="0" xfId="0" applyNumberFormat="1" applyFont="1" applyAlignment="1">
      <alignment horizontal="right"/>
    </xf>
    <xf numFmtId="4" fontId="54" fillId="0" borderId="41" xfId="0" applyNumberFormat="1" applyFont="1" applyBorder="1"/>
    <xf numFmtId="3" fontId="58" fillId="0" borderId="46" xfId="0" applyNumberFormat="1" applyFont="1" applyBorder="1" applyAlignment="1">
      <alignment horizontal="right" wrapText="1"/>
    </xf>
    <xf numFmtId="3" fontId="58" fillId="0" borderId="0" xfId="0" applyNumberFormat="1" applyFont="1" applyAlignment="1">
      <alignment horizontal="right" wrapText="1"/>
    </xf>
    <xf numFmtId="3" fontId="52" fillId="0" borderId="46" xfId="0" applyNumberFormat="1" applyFont="1" applyBorder="1" applyAlignment="1">
      <alignment horizontal="right" wrapText="1"/>
    </xf>
    <xf numFmtId="4" fontId="52" fillId="0" borderId="41" xfId="0" applyNumberFormat="1" applyFont="1" applyBorder="1" applyAlignment="1">
      <alignment horizontal="right" wrapText="1"/>
    </xf>
    <xf numFmtId="0" fontId="55" fillId="0" borderId="41" xfId="0" applyFont="1" applyBorder="1"/>
    <xf numFmtId="0" fontId="54" fillId="0" borderId="41" xfId="0" applyFont="1" applyBorder="1"/>
    <xf numFmtId="3" fontId="58" fillId="0" borderId="46" xfId="0" applyNumberFormat="1" applyFont="1" applyBorder="1" applyAlignment="1">
      <alignment horizontal="right"/>
    </xf>
    <xf numFmtId="3" fontId="52" fillId="0" borderId="46" xfId="0" applyNumberFormat="1" applyFont="1" applyBorder="1" applyAlignment="1">
      <alignment horizontal="right"/>
    </xf>
    <xf numFmtId="3" fontId="52" fillId="0" borderId="5" xfId="0" applyNumberFormat="1" applyFont="1" applyBorder="1" applyAlignment="1">
      <alignment horizontal="right"/>
    </xf>
    <xf numFmtId="3" fontId="52" fillId="0" borderId="41" xfId="0" applyNumberFormat="1" applyFont="1" applyBorder="1" applyAlignment="1">
      <alignment horizontal="right"/>
    </xf>
    <xf numFmtId="0" fontId="58" fillId="0" borderId="41" xfId="0" applyFont="1" applyBorder="1" applyAlignment="1">
      <alignment horizontal="left"/>
    </xf>
    <xf numFmtId="0" fontId="52" fillId="0" borderId="41" xfId="0" applyFont="1" applyBorder="1" applyAlignment="1">
      <alignment horizontal="left"/>
    </xf>
    <xf numFmtId="4" fontId="52" fillId="0" borderId="41" xfId="0" applyNumberFormat="1" applyFont="1" applyBorder="1" applyAlignment="1">
      <alignment horizontal="right"/>
    </xf>
    <xf numFmtId="0" fontId="58" fillId="0" borderId="41" xfId="0" applyFont="1" applyBorder="1"/>
    <xf numFmtId="3" fontId="55" fillId="0" borderId="46" xfId="0" applyNumberFormat="1" applyFont="1" applyBorder="1"/>
    <xf numFmtId="3" fontId="55" fillId="0" borderId="5" xfId="0" applyNumberFormat="1" applyFont="1" applyBorder="1"/>
    <xf numFmtId="3" fontId="55" fillId="0" borderId="0" xfId="0" applyNumberFormat="1" applyFont="1"/>
    <xf numFmtId="4" fontId="55" fillId="0" borderId="41" xfId="0" applyNumberFormat="1" applyFont="1" applyBorder="1"/>
    <xf numFmtId="3" fontId="54" fillId="0" borderId="46" xfId="0" applyNumberFormat="1" applyFont="1" applyBorder="1"/>
    <xf numFmtId="3" fontId="52" fillId="0" borderId="0" xfId="0" applyNumberFormat="1" applyFont="1" applyAlignment="1">
      <alignment horizontal="right"/>
    </xf>
    <xf numFmtId="4" fontId="52" fillId="0" borderId="54" xfId="0" applyNumberFormat="1" applyFont="1" applyBorder="1" applyAlignment="1">
      <alignment horizontal="right"/>
    </xf>
    <xf numFmtId="3" fontId="55" fillId="3" borderId="52" xfId="0" applyNumberFormat="1" applyFont="1" applyFill="1" applyBorder="1"/>
    <xf numFmtId="3" fontId="55" fillId="3" borderId="8" xfId="0" applyNumberFormat="1" applyFont="1" applyFill="1" applyBorder="1"/>
    <xf numFmtId="0" fontId="56" fillId="0" borderId="41" xfId="0" applyFont="1" applyBorder="1" applyAlignment="1">
      <alignment horizontal="left"/>
    </xf>
    <xf numFmtId="168" fontId="55" fillId="0" borderId="46" xfId="1" applyNumberFormat="1" applyFont="1" applyFill="1" applyBorder="1" applyAlignment="1">
      <alignment horizontal="right"/>
    </xf>
    <xf numFmtId="168" fontId="58" fillId="0" borderId="46" xfId="1" applyNumberFormat="1" applyFont="1" applyFill="1" applyBorder="1" applyAlignment="1">
      <alignment horizontal="right"/>
    </xf>
    <xf numFmtId="168" fontId="52" fillId="0" borderId="46" xfId="1" applyNumberFormat="1" applyFont="1" applyFill="1" applyBorder="1" applyAlignment="1">
      <alignment horizontal="right" wrapText="1"/>
    </xf>
    <xf numFmtId="168" fontId="52" fillId="0" borderId="41" xfId="1" applyNumberFormat="1" applyFont="1" applyFill="1" applyBorder="1" applyAlignment="1">
      <alignment horizontal="right" wrapText="1"/>
    </xf>
    <xf numFmtId="168" fontId="58" fillId="0" borderId="46" xfId="1" applyNumberFormat="1" applyFont="1" applyFill="1" applyBorder="1" applyAlignment="1">
      <alignment horizontal="right" wrapText="1"/>
    </xf>
    <xf numFmtId="0" fontId="54" fillId="0" borderId="0" xfId="0" applyFont="1"/>
    <xf numFmtId="3" fontId="55" fillId="3" borderId="52" xfId="0" applyNumberFormat="1" applyFont="1" applyFill="1" applyBorder="1" applyAlignment="1">
      <alignment horizontal="right"/>
    </xf>
    <xf numFmtId="3" fontId="55" fillId="3" borderId="7" xfId="0" applyNumberFormat="1" applyFont="1" applyFill="1" applyBorder="1"/>
    <xf numFmtId="4" fontId="55" fillId="3" borderId="53" xfId="0" applyNumberFormat="1" applyFont="1" applyFill="1" applyBorder="1"/>
    <xf numFmtId="3" fontId="54" fillId="0" borderId="0" xfId="0" applyNumberFormat="1" applyFont="1" applyAlignment="1">
      <alignment horizontal="right"/>
    </xf>
    <xf numFmtId="3" fontId="54" fillId="0" borderId="0" xfId="0" applyNumberFormat="1" applyFont="1"/>
    <xf numFmtId="4" fontId="54" fillId="0" borderId="0" xfId="0" applyNumberFormat="1" applyFont="1"/>
    <xf numFmtId="3" fontId="52" fillId="0" borderId="2" xfId="0" applyNumberFormat="1" applyFont="1" applyBorder="1" applyAlignment="1">
      <alignment horizontal="right" wrapText="1"/>
    </xf>
    <xf numFmtId="4" fontId="54" fillId="0" borderId="3" xfId="0" applyNumberFormat="1" applyFont="1" applyBorder="1"/>
    <xf numFmtId="4" fontId="54" fillId="0" borderId="5" xfId="0" applyNumberFormat="1" applyFont="1" applyBorder="1"/>
    <xf numFmtId="3" fontId="55" fillId="0" borderId="0" xfId="0" applyNumberFormat="1" applyFont="1" applyAlignment="1">
      <alignment horizontal="right"/>
    </xf>
    <xf numFmtId="0" fontId="54" fillId="0" borderId="7" xfId="0" applyFont="1" applyBorder="1"/>
    <xf numFmtId="3" fontId="54" fillId="0" borderId="7" xfId="0" applyNumberFormat="1" applyFont="1" applyBorder="1" applyAlignment="1">
      <alignment horizontal="right"/>
    </xf>
    <xf numFmtId="0" fontId="55" fillId="0" borderId="7" xfId="0" applyFont="1" applyBorder="1"/>
    <xf numFmtId="4" fontId="54" fillId="0" borderId="8" xfId="0" applyNumberFormat="1" applyFont="1" applyBorder="1"/>
    <xf numFmtId="3" fontId="9" fillId="0" borderId="0" xfId="0" applyNumberFormat="1" applyFont="1"/>
    <xf numFmtId="0" fontId="12" fillId="0" borderId="4" xfId="0" applyFont="1" applyBorder="1"/>
    <xf numFmtId="0" fontId="10" fillId="0" borderId="4" xfId="0" applyFont="1" applyBorder="1"/>
    <xf numFmtId="0" fontId="35" fillId="0" borderId="4" xfId="0" applyFont="1" applyBorder="1"/>
    <xf numFmtId="0" fontId="36" fillId="0" borderId="4" xfId="0" applyFont="1" applyBorder="1"/>
    <xf numFmtId="0" fontId="37" fillId="0" borderId="4" xfId="0" applyFont="1" applyBorder="1"/>
    <xf numFmtId="0" fontId="38" fillId="0" borderId="4" xfId="0" applyFont="1" applyBorder="1"/>
    <xf numFmtId="164" fontId="10" fillId="2" borderId="16" xfId="1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/>
    </xf>
    <xf numFmtId="3" fontId="40" fillId="0" borderId="0" xfId="0" applyNumberFormat="1" applyFont="1"/>
    <xf numFmtId="3" fontId="10" fillId="0" borderId="0" xfId="0" applyNumberFormat="1" applyFont="1"/>
    <xf numFmtId="3" fontId="18" fillId="0" borderId="0" xfId="0" applyNumberFormat="1" applyFont="1"/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8" fillId="0" borderId="0" xfId="0" applyFont="1"/>
    <xf numFmtId="0" fontId="28" fillId="2" borderId="0" xfId="0" applyFont="1" applyFill="1" applyAlignment="1">
      <alignment horizont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2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2" fillId="0" borderId="39" xfId="0" applyFont="1" applyBorder="1"/>
    <xf numFmtId="3" fontId="55" fillId="3" borderId="42" xfId="0" applyNumberFormat="1" applyFont="1" applyFill="1" applyBorder="1"/>
    <xf numFmtId="0" fontId="28" fillId="2" borderId="4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/>
    </xf>
    <xf numFmtId="0" fontId="25" fillId="0" borderId="35" xfId="0" applyFont="1" applyBorder="1" applyAlignment="1">
      <alignment horizontal="left" vertical="center"/>
    </xf>
    <xf numFmtId="0" fontId="25" fillId="0" borderId="4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6" fillId="3" borderId="6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left"/>
    </xf>
    <xf numFmtId="0" fontId="59" fillId="0" borderId="4" xfId="0" applyFont="1" applyBorder="1" applyAlignment="1">
      <alignment horizontal="left" vertical="center"/>
    </xf>
    <xf numFmtId="0" fontId="60" fillId="0" borderId="4" xfId="0" applyFont="1" applyBorder="1" applyAlignment="1">
      <alignment horizontal="left"/>
    </xf>
    <xf numFmtId="0" fontId="61" fillId="0" borderId="4" xfId="0" applyFont="1" applyBorder="1" applyAlignment="1">
      <alignment horizontal="left"/>
    </xf>
    <xf numFmtId="0" fontId="61" fillId="3" borderId="1" xfId="0" applyFont="1" applyFill="1" applyBorder="1" applyAlignment="1">
      <alignment horizontal="left"/>
    </xf>
    <xf numFmtId="0" fontId="59" fillId="0" borderId="4" xfId="0" applyFont="1" applyBorder="1" applyAlignment="1">
      <alignment horizontal="left"/>
    </xf>
    <xf numFmtId="0" fontId="55" fillId="3" borderId="42" xfId="0" applyFont="1" applyFill="1" applyBorder="1" applyAlignment="1">
      <alignment horizontal="center"/>
    </xf>
    <xf numFmtId="4" fontId="55" fillId="3" borderId="42" xfId="0" applyNumberFormat="1" applyFont="1" applyFill="1" applyBorder="1"/>
    <xf numFmtId="0" fontId="52" fillId="3" borderId="42" xfId="0" applyFont="1" applyFill="1" applyBorder="1" applyAlignment="1">
      <alignment horizontal="left"/>
    </xf>
    <xf numFmtId="168" fontId="52" fillId="3" borderId="42" xfId="1" applyNumberFormat="1" applyFont="1" applyFill="1" applyBorder="1" applyAlignment="1">
      <alignment horizontal="right"/>
    </xf>
    <xf numFmtId="4" fontId="52" fillId="3" borderId="42" xfId="1" applyNumberFormat="1" applyFont="1" applyFill="1" applyBorder="1" applyAlignment="1">
      <alignment horizontal="right"/>
    </xf>
    <xf numFmtId="0" fontId="55" fillId="2" borderId="4" xfId="0" applyFont="1" applyFill="1" applyBorder="1" applyAlignment="1">
      <alignment horizontal="left"/>
    </xf>
    <xf numFmtId="0" fontId="55" fillId="2" borderId="36" xfId="0" applyFont="1" applyFill="1" applyBorder="1" applyAlignment="1">
      <alignment horizontal="center"/>
    </xf>
    <xf numFmtId="0" fontId="54" fillId="0" borderId="1" xfId="0" applyFont="1" applyBorder="1" applyAlignment="1">
      <alignment horizontal="left"/>
    </xf>
    <xf numFmtId="0" fontId="56" fillId="0" borderId="4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8" fillId="0" borderId="4" xfId="0" applyFont="1" applyBorder="1" applyAlignment="1">
      <alignment horizontal="left" vertical="center"/>
    </xf>
    <xf numFmtId="0" fontId="58" fillId="0" borderId="4" xfId="0" applyFont="1" applyBorder="1" applyAlignment="1">
      <alignment horizontal="left"/>
    </xf>
    <xf numFmtId="0" fontId="54" fillId="0" borderId="4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0" fontId="53" fillId="0" borderId="0" xfId="0" applyFont="1" applyAlignment="1">
      <alignment horizontal="left"/>
    </xf>
    <xf numFmtId="0" fontId="54" fillId="0" borderId="2" xfId="0" applyFont="1" applyBorder="1" applyAlignment="1">
      <alignment horizontal="left"/>
    </xf>
    <xf numFmtId="0" fontId="55" fillId="0" borderId="4" xfId="0" applyFont="1" applyBorder="1" applyAlignment="1">
      <alignment horizontal="left"/>
    </xf>
    <xf numFmtId="0" fontId="52" fillId="0" borderId="4" xfId="0" applyFont="1" applyBorder="1" applyAlignment="1">
      <alignment horizontal="left"/>
    </xf>
    <xf numFmtId="0" fontId="54" fillId="3" borderId="42" xfId="0" applyFont="1" applyFill="1" applyBorder="1" applyAlignment="1">
      <alignment horizontal="left"/>
    </xf>
    <xf numFmtId="0" fontId="56" fillId="0" borderId="4" xfId="0" applyFont="1" applyBorder="1" applyAlignment="1">
      <alignment horizontal="left"/>
    </xf>
    <xf numFmtId="0" fontId="54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4" fillId="0" borderId="7" xfId="0" applyFont="1" applyBorder="1" applyAlignment="1">
      <alignment horizontal="left"/>
    </xf>
    <xf numFmtId="0" fontId="56" fillId="0" borderId="14" xfId="0" applyFont="1" applyBorder="1" applyAlignment="1">
      <alignment horizontal="left" vertical="center"/>
    </xf>
    <xf numFmtId="0" fontId="14" fillId="3" borderId="55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7" borderId="0" xfId="0" applyFont="1" applyFill="1"/>
    <xf numFmtId="3" fontId="10" fillId="7" borderId="27" xfId="0" applyNumberFormat="1" applyFont="1" applyFill="1" applyBorder="1" applyAlignment="1">
      <alignment horizontal="right"/>
    </xf>
    <xf numFmtId="0" fontId="9" fillId="7" borderId="4" xfId="0" applyFont="1" applyFill="1" applyBorder="1" applyAlignment="1">
      <alignment horizontal="left"/>
    </xf>
    <xf numFmtId="0" fontId="9" fillId="7" borderId="0" xfId="0" applyFont="1" applyFill="1"/>
    <xf numFmtId="3" fontId="9" fillId="7" borderId="27" xfId="0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41" fillId="0" borderId="26" xfId="0" applyFont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48" fillId="0" borderId="26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32" fillId="0" borderId="26" xfId="0" applyFont="1" applyBorder="1" applyAlignment="1">
      <alignment horizontal="left"/>
    </xf>
    <xf numFmtId="0" fontId="20" fillId="2" borderId="26" xfId="0" applyFont="1" applyFill="1" applyBorder="1" applyAlignment="1">
      <alignment horizontal="left"/>
    </xf>
    <xf numFmtId="0" fontId="44" fillId="4" borderId="26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4" fillId="4" borderId="27" xfId="0" applyFont="1" applyFill="1" applyBorder="1" applyAlignment="1">
      <alignment horizontal="left"/>
    </xf>
    <xf numFmtId="0" fontId="41" fillId="4" borderId="26" xfId="0" applyFont="1" applyFill="1" applyBorder="1" applyAlignment="1">
      <alignment horizontal="center"/>
    </xf>
    <xf numFmtId="0" fontId="41" fillId="4" borderId="27" xfId="0" applyFont="1" applyFill="1" applyBorder="1" applyAlignment="1">
      <alignment horizontal="center"/>
    </xf>
    <xf numFmtId="3" fontId="32" fillId="4" borderId="32" xfId="0" applyNumberFormat="1" applyFont="1" applyFill="1" applyBorder="1" applyAlignment="1">
      <alignment horizontal="right"/>
    </xf>
    <xf numFmtId="3" fontId="32" fillId="4" borderId="27" xfId="0" applyNumberFormat="1" applyFont="1" applyFill="1" applyBorder="1"/>
    <xf numFmtId="4" fontId="32" fillId="4" borderId="26" xfId="0" applyNumberFormat="1" applyFont="1" applyFill="1" applyBorder="1"/>
    <xf numFmtId="0" fontId="44" fillId="0" borderId="26" xfId="0" applyFont="1" applyBorder="1" applyAlignment="1">
      <alignment horizontal="left"/>
    </xf>
    <xf numFmtId="4" fontId="20" fillId="0" borderId="26" xfId="0" applyNumberFormat="1" applyFont="1" applyBorder="1"/>
    <xf numFmtId="0" fontId="62" fillId="0" borderId="41" xfId="0" applyFont="1" applyBorder="1"/>
    <xf numFmtId="4" fontId="48" fillId="8" borderId="26" xfId="0" applyNumberFormat="1" applyFont="1" applyFill="1" applyBorder="1" applyAlignment="1">
      <alignment horizontal="right"/>
    </xf>
    <xf numFmtId="166" fontId="20" fillId="3" borderId="20" xfId="0" applyNumberFormat="1" applyFont="1" applyFill="1" applyBorder="1" applyAlignment="1">
      <alignment horizontal="right"/>
    </xf>
    <xf numFmtId="166" fontId="32" fillId="9" borderId="0" xfId="1" applyNumberFormat="1" applyFont="1" applyFill="1" applyBorder="1" applyAlignment="1">
      <alignment horizontal="right"/>
    </xf>
    <xf numFmtId="0" fontId="41" fillId="0" borderId="4" xfId="0" applyFont="1" applyBorder="1" applyAlignment="1">
      <alignment horizontal="center" wrapText="1"/>
    </xf>
    <xf numFmtId="0" fontId="41" fillId="0" borderId="0" xfId="0" applyFont="1" applyBorder="1"/>
    <xf numFmtId="0" fontId="41" fillId="0" borderId="5" xfId="0" applyFont="1" applyBorder="1"/>
    <xf numFmtId="0" fontId="41" fillId="0" borderId="7" xfId="0" applyFont="1" applyBorder="1"/>
    <xf numFmtId="0" fontId="41" fillId="0" borderId="0" xfId="0" applyFont="1" applyBorder="1" applyAlignment="1">
      <alignment horizontal="center" wrapText="1"/>
    </xf>
    <xf numFmtId="3" fontId="44" fillId="0" borderId="8" xfId="0" applyNumberFormat="1" applyFont="1" applyBorder="1"/>
    <xf numFmtId="0" fontId="44" fillId="0" borderId="6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/>
    </xf>
    <xf numFmtId="164" fontId="32" fillId="0" borderId="0" xfId="1" applyNumberFormat="1" applyFont="1" applyFill="1" applyBorder="1" applyAlignment="1">
      <alignment vertical="center"/>
    </xf>
    <xf numFmtId="3" fontId="43" fillId="0" borderId="5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44" fillId="0" borderId="0" xfId="0" applyFont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55" fillId="0" borderId="4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3" borderId="6" xfId="0" applyFont="1" applyFill="1" applyBorder="1" applyAlignment="1">
      <alignment horizontal="center"/>
    </xf>
    <xf numFmtId="0" fontId="55" fillId="3" borderId="7" xfId="0" applyFont="1" applyFill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55" fillId="3" borderId="2" xfId="0" applyFont="1" applyFill="1" applyBorder="1" applyAlignment="1">
      <alignment horizontal="center"/>
    </xf>
    <xf numFmtId="0" fontId="52" fillId="3" borderId="1" xfId="0" applyFont="1" applyFill="1" applyBorder="1" applyAlignment="1">
      <alignment horizontal="center"/>
    </xf>
    <xf numFmtId="0" fontId="52" fillId="3" borderId="2" xfId="0" applyFont="1" applyFill="1" applyBorder="1" applyAlignment="1">
      <alignment horizontal="center"/>
    </xf>
    <xf numFmtId="0" fontId="52" fillId="3" borderId="4" xfId="0" applyFont="1" applyFill="1" applyBorder="1" applyAlignment="1">
      <alignment horizontal="center"/>
    </xf>
    <xf numFmtId="0" fontId="52" fillId="3" borderId="0" xfId="0" applyFont="1" applyFill="1" applyAlignment="1">
      <alignment horizontal="center"/>
    </xf>
    <xf numFmtId="0" fontId="52" fillId="3" borderId="6" xfId="0" applyFont="1" applyFill="1" applyBorder="1" applyAlignment="1">
      <alignment horizontal="center"/>
    </xf>
    <xf numFmtId="0" fontId="52" fillId="3" borderId="7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67" fontId="10" fillId="2" borderId="13" xfId="1" applyNumberFormat="1" applyFont="1" applyFill="1" applyBorder="1" applyAlignment="1">
      <alignment horizontal="center" vertical="center" wrapText="1"/>
    </xf>
    <xf numFmtId="167" fontId="10" fillId="2" borderId="15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1" fillId="0" borderId="5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44" fillId="3" borderId="34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20" fillId="3" borderId="24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center" wrapText="1"/>
    </xf>
    <xf numFmtId="0" fontId="46" fillId="0" borderId="25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20" fillId="3" borderId="26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46" fillId="0" borderId="27" xfId="0" applyFont="1" applyBorder="1" applyAlignment="1">
      <alignment horizontal="center" wrapText="1"/>
    </xf>
    <xf numFmtId="0" fontId="20" fillId="2" borderId="28" xfId="0" applyFont="1" applyFill="1" applyBorder="1" applyAlignment="1">
      <alignment horizontal="center" wrapText="1"/>
    </xf>
    <xf numFmtId="0" fontId="20" fillId="2" borderId="29" xfId="0" applyFont="1" applyFill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4" fillId="2" borderId="26" xfId="0" applyFont="1" applyFill="1" applyBorder="1" applyAlignment="1">
      <alignment horizontal="center"/>
    </xf>
    <xf numFmtId="0" fontId="44" fillId="2" borderId="0" xfId="0" applyFont="1" applyFill="1" applyAlignment="1">
      <alignment horizontal="center"/>
    </xf>
    <xf numFmtId="0" fontId="44" fillId="0" borderId="25" xfId="0" applyFont="1" applyBorder="1" applyAlignment="1">
      <alignment horizontal="center" wrapText="1"/>
    </xf>
    <xf numFmtId="0" fontId="29" fillId="0" borderId="25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42" fillId="0" borderId="4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28577</xdr:rowOff>
    </xdr:from>
    <xdr:to>
      <xdr:col>7</xdr:col>
      <xdr:colOff>628650</xdr:colOff>
      <xdr:row>3</xdr:row>
      <xdr:rowOff>133350</xdr:rowOff>
    </xdr:to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9075" y="28577"/>
          <a:ext cx="2647950" cy="67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390524</xdr:colOff>
      <xdr:row>0</xdr:row>
      <xdr:rowOff>28575</xdr:rowOff>
    </xdr:from>
    <xdr:to>
      <xdr:col>2</xdr:col>
      <xdr:colOff>2200274</xdr:colOff>
      <xdr:row>3</xdr:row>
      <xdr:rowOff>123825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28575"/>
          <a:ext cx="2390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122464</xdr:colOff>
      <xdr:row>0</xdr:row>
      <xdr:rowOff>13607</xdr:rowOff>
    </xdr:from>
    <xdr:ext cx="3687536" cy="608693"/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164" y="13607"/>
          <a:ext cx="3687536" cy="608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66675</xdr:rowOff>
    </xdr:from>
    <xdr:to>
      <xdr:col>0</xdr:col>
      <xdr:colOff>1752600</xdr:colOff>
      <xdr:row>4</xdr:row>
      <xdr:rowOff>123825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57175"/>
          <a:ext cx="1724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GUAS%20CHOCO%202020\ESTADOS%20FINANCIEROS%20Y%20NOTAS%20A%20LOS%20ESTADOS%20FROS\ESTADOS%20FINANCIEROS%20-%20ACHO%20%20a%2030%20de%20Diciembre%20de%202020%20EDINSON%20DICIEMBRE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BALANCE COMPARATIVO"/>
      <sheetName val="MAYOR Y BALANCE"/>
      <sheetName val="ESTADO RESULTADO"/>
      <sheetName val="ESTADO DE RESULTADO COMPARATIVO"/>
      <sheetName val="CAMBIO PATRIMONIO"/>
    </sheetNames>
    <sheetDataSet>
      <sheetData sheetId="0"/>
      <sheetData sheetId="1"/>
      <sheetData sheetId="2">
        <row r="183">
          <cell r="L183">
            <v>0</v>
          </cell>
        </row>
      </sheetData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RENT LEISCY PALOMEQUE ABUHATAB" id="{5A0F7293-83CF-4748-9D4F-8B74DCC8CE31}" userId="77ceb6a247ea7be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77" dT="2020-08-11T04:49:03.97" personId="{5A0F7293-83CF-4748-9D4F-8B74DCC8CE31}" id="{AD50F2B8-1508-4C8B-BAB4-BDF9F925B8E5}">
    <text>Estan incluido los 90.000.000 de honorarios de la Cuenta 511111 (honorarios)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5"/>
  <sheetViews>
    <sheetView topLeftCell="A32" zoomScaleNormal="100" workbookViewId="0">
      <selection activeCell="D40" sqref="D40"/>
    </sheetView>
  </sheetViews>
  <sheetFormatPr baseColWidth="10" defaultColWidth="11.42578125" defaultRowHeight="13.5"/>
  <cols>
    <col min="1" max="1" width="4.42578125" style="1" customWidth="1"/>
    <col min="2" max="2" width="8.7109375" style="401" customWidth="1"/>
    <col min="3" max="3" width="46.5703125" style="1" customWidth="1"/>
    <col min="4" max="4" width="14.140625" style="1" customWidth="1"/>
    <col min="5" max="5" width="1.5703125" style="1" customWidth="1"/>
    <col min="6" max="6" width="8.7109375" style="401" customWidth="1"/>
    <col min="7" max="7" width="44.7109375" style="1" customWidth="1"/>
    <col min="8" max="8" width="14" style="1" customWidth="1"/>
    <col min="9" max="9" width="11.7109375" style="1" bestFit="1" customWidth="1"/>
    <col min="10" max="10" width="17.85546875" style="210" bestFit="1" customWidth="1"/>
    <col min="11" max="13" width="11.42578125" style="210"/>
    <col min="14" max="16384" width="11.42578125" style="1"/>
  </cols>
  <sheetData>
    <row r="1" spans="2:14" ht="18" customHeight="1">
      <c r="B1" s="509" t="s">
        <v>0</v>
      </c>
      <c r="C1" s="510"/>
      <c r="D1" s="510"/>
      <c r="E1" s="510"/>
      <c r="F1" s="510"/>
      <c r="G1" s="510"/>
      <c r="H1" s="511"/>
      <c r="I1" s="3"/>
      <c r="J1" s="209"/>
      <c r="K1" s="209"/>
      <c r="L1" s="209"/>
      <c r="M1" s="209"/>
      <c r="N1" s="3"/>
    </row>
    <row r="2" spans="2:14">
      <c r="B2" s="512" t="s">
        <v>166</v>
      </c>
      <c r="C2" s="513"/>
      <c r="D2" s="513"/>
      <c r="E2" s="513"/>
      <c r="F2" s="513"/>
      <c r="G2" s="513"/>
      <c r="H2" s="514"/>
      <c r="I2" s="3"/>
      <c r="J2" s="209"/>
      <c r="K2" s="209"/>
      <c r="L2" s="209"/>
      <c r="M2" s="209"/>
      <c r="N2" s="3"/>
    </row>
    <row r="3" spans="2:14">
      <c r="B3" s="512" t="s">
        <v>206</v>
      </c>
      <c r="C3" s="513"/>
      <c r="D3" s="513"/>
      <c r="E3" s="513"/>
      <c r="F3" s="513"/>
      <c r="G3" s="513"/>
      <c r="H3" s="514"/>
    </row>
    <row r="4" spans="2:14" ht="14.25" thickBot="1">
      <c r="B4" s="512" t="s">
        <v>307</v>
      </c>
      <c r="C4" s="513"/>
      <c r="D4" s="513"/>
      <c r="E4" s="513"/>
      <c r="F4" s="513"/>
      <c r="G4" s="513"/>
      <c r="H4" s="514"/>
    </row>
    <row r="5" spans="2:14" ht="14.25" thickBot="1">
      <c r="B5" s="515"/>
      <c r="C5" s="516"/>
      <c r="D5" s="516"/>
      <c r="E5" s="516"/>
      <c r="F5" s="516"/>
      <c r="G5" s="516"/>
      <c r="H5" s="517"/>
    </row>
    <row r="6" spans="2:14" s="65" customFormat="1" ht="15" customHeight="1">
      <c r="B6" s="520" t="s">
        <v>2</v>
      </c>
      <c r="C6" s="521"/>
      <c r="D6" s="71">
        <f>+D7</f>
        <v>9422091493</v>
      </c>
      <c r="E6" s="389"/>
      <c r="F6" s="520" t="s">
        <v>3</v>
      </c>
      <c r="G6" s="521"/>
      <c r="H6" s="71">
        <f>+H7</f>
        <v>209190904.99699998</v>
      </c>
      <c r="J6" s="211"/>
      <c r="K6" s="211"/>
      <c r="L6" s="211"/>
      <c r="M6" s="211"/>
    </row>
    <row r="7" spans="2:14" s="65" customFormat="1" ht="15" customHeight="1">
      <c r="B7" s="407">
        <v>1</v>
      </c>
      <c r="C7" s="390" t="s">
        <v>378</v>
      </c>
      <c r="D7" s="72">
        <f>+D8+D28+D11+D14</f>
        <v>9422091493</v>
      </c>
      <c r="E7" s="389"/>
      <c r="F7" s="407">
        <v>2</v>
      </c>
      <c r="G7" s="390" t="s">
        <v>379</v>
      </c>
      <c r="H7" s="73">
        <f>+H8+H28</f>
        <v>209190904.99699998</v>
      </c>
      <c r="J7" s="211"/>
      <c r="K7" s="211"/>
      <c r="L7" s="211"/>
      <c r="M7" s="211"/>
    </row>
    <row r="8" spans="2:14" s="65" customFormat="1" thickBot="1">
      <c r="B8" s="408">
        <v>1.1000000000000001</v>
      </c>
      <c r="C8" s="392" t="s">
        <v>160</v>
      </c>
      <c r="D8" s="91">
        <f>D9</f>
        <v>211241527</v>
      </c>
      <c r="F8" s="423">
        <v>24</v>
      </c>
      <c r="G8" s="392" t="s">
        <v>162</v>
      </c>
      <c r="H8" s="91">
        <f>+H9+H11+H20+H22</f>
        <v>134234668.99699998</v>
      </c>
      <c r="J8" s="211"/>
      <c r="K8" s="211"/>
      <c r="L8" s="211"/>
      <c r="M8" s="211"/>
    </row>
    <row r="9" spans="2:14" s="65" customFormat="1" thickTop="1">
      <c r="B9" s="409" t="s">
        <v>320</v>
      </c>
      <c r="C9" s="391" t="s">
        <v>11</v>
      </c>
      <c r="D9" s="62">
        <f>+D10</f>
        <v>211241527</v>
      </c>
      <c r="F9" s="418" t="s">
        <v>350</v>
      </c>
      <c r="G9" s="389" t="s">
        <v>227</v>
      </c>
      <c r="H9" s="62">
        <f>+H10</f>
        <v>154377</v>
      </c>
      <c r="J9" s="211"/>
      <c r="K9" s="211"/>
      <c r="L9" s="211"/>
      <c r="M9" s="211"/>
    </row>
    <row r="10" spans="2:14" s="65" customFormat="1" ht="12.75">
      <c r="B10" s="410" t="s">
        <v>321</v>
      </c>
      <c r="C10" s="393" t="s">
        <v>12</v>
      </c>
      <c r="D10" s="63">
        <v>211241527</v>
      </c>
      <c r="F10" s="411" t="s">
        <v>351</v>
      </c>
      <c r="G10" s="65" t="s">
        <v>190</v>
      </c>
      <c r="H10" s="63">
        <v>154377</v>
      </c>
      <c r="J10" s="211"/>
      <c r="K10" s="211"/>
      <c r="L10" s="211"/>
      <c r="M10" s="211"/>
    </row>
    <row r="11" spans="2:14" s="65" customFormat="1" ht="12.75">
      <c r="B11" s="409">
        <v>1.3</v>
      </c>
      <c r="C11" s="389" t="s">
        <v>209</v>
      </c>
      <c r="D11" s="62">
        <f>D12</f>
        <v>6917650505</v>
      </c>
      <c r="F11" s="418" t="s">
        <v>352</v>
      </c>
      <c r="G11" s="389" t="s">
        <v>22</v>
      </c>
      <c r="H11" s="67">
        <f>SUM(H12:H19)</f>
        <v>-3.0000000260770321E-3</v>
      </c>
      <c r="J11" s="211"/>
      <c r="K11" s="211"/>
      <c r="L11" s="211"/>
      <c r="M11" s="211"/>
    </row>
    <row r="12" spans="2:14" s="65" customFormat="1" ht="12.75">
      <c r="B12" s="409" t="s">
        <v>322</v>
      </c>
      <c r="C12" s="389" t="s">
        <v>199</v>
      </c>
      <c r="D12" s="67">
        <f>D13</f>
        <v>6917650505</v>
      </c>
      <c r="F12" s="411" t="s">
        <v>353</v>
      </c>
      <c r="G12" s="65" t="s">
        <v>19</v>
      </c>
      <c r="H12" s="63">
        <f>+'MAYOR Y BALANCE'!O71</f>
        <v>0</v>
      </c>
      <c r="L12" s="211"/>
      <c r="M12" s="211"/>
    </row>
    <row r="13" spans="2:14" s="65" customFormat="1" ht="12.75">
      <c r="B13" s="410" t="s">
        <v>323</v>
      </c>
      <c r="C13" s="393" t="s">
        <v>198</v>
      </c>
      <c r="D13" s="63">
        <v>6917650505</v>
      </c>
      <c r="F13" s="411" t="s">
        <v>354</v>
      </c>
      <c r="G13" s="65" t="s">
        <v>20</v>
      </c>
      <c r="H13" s="63">
        <f>+'MAYOR Y BALANCE'!O72</f>
        <v>0</v>
      </c>
      <c r="I13" s="142"/>
      <c r="L13" s="211"/>
      <c r="M13" s="211"/>
    </row>
    <row r="14" spans="2:14" s="65" customFormat="1" thickBot="1">
      <c r="B14" s="408">
        <v>1.6</v>
      </c>
      <c r="C14" s="392" t="s">
        <v>161</v>
      </c>
      <c r="D14" s="91">
        <f>+D15+D18+D21+D23</f>
        <v>143378372</v>
      </c>
      <c r="F14" s="411" t="s">
        <v>355</v>
      </c>
      <c r="G14" s="65" t="s">
        <v>191</v>
      </c>
      <c r="H14" s="63">
        <f>+'MAYOR Y BALANCE'!O73</f>
        <v>0</v>
      </c>
      <c r="I14" s="143"/>
      <c r="L14" s="211"/>
      <c r="M14" s="211"/>
    </row>
    <row r="15" spans="2:14" s="65" customFormat="1" thickTop="1">
      <c r="B15" s="409" t="s">
        <v>324</v>
      </c>
      <c r="C15" s="391" t="s">
        <v>34</v>
      </c>
      <c r="D15" s="67">
        <f>D16+D17</f>
        <v>183715759</v>
      </c>
      <c r="F15" s="411" t="s">
        <v>356</v>
      </c>
      <c r="G15" s="65" t="s">
        <v>29</v>
      </c>
      <c r="H15" s="63">
        <f>+'MAYOR Y BALANCE'!O74</f>
        <v>-3.0000000260770321E-3</v>
      </c>
      <c r="I15" s="143"/>
      <c r="L15" s="211"/>
      <c r="M15" s="211"/>
    </row>
    <row r="16" spans="2:14" s="65" customFormat="1" ht="12.75">
      <c r="B16" s="410" t="s">
        <v>325</v>
      </c>
      <c r="C16" s="393" t="s">
        <v>35</v>
      </c>
      <c r="D16" s="66">
        <v>132116759</v>
      </c>
      <c r="F16" s="411" t="s">
        <v>357</v>
      </c>
      <c r="G16" s="65" t="s">
        <v>230</v>
      </c>
      <c r="H16" s="63">
        <f>+'MAYOR Y BALANCE'!O75</f>
        <v>0</v>
      </c>
      <c r="I16" s="143"/>
      <c r="L16" s="211"/>
      <c r="M16" s="211"/>
    </row>
    <row r="17" spans="2:13" s="65" customFormat="1" ht="12.75">
      <c r="B17" s="410" t="s">
        <v>326</v>
      </c>
      <c r="C17" s="393" t="s">
        <v>36</v>
      </c>
      <c r="D17" s="66">
        <v>51599000</v>
      </c>
      <c r="F17" s="411" t="s">
        <v>358</v>
      </c>
      <c r="G17" s="65" t="s">
        <v>228</v>
      </c>
      <c r="H17" s="63">
        <f>+'MAYOR Y BALANCE'!O76</f>
        <v>0</v>
      </c>
      <c r="I17" s="143"/>
      <c r="L17" s="211"/>
      <c r="M17" s="211"/>
    </row>
    <row r="18" spans="2:13" s="65" customFormat="1" ht="12.75">
      <c r="B18" s="409" t="s">
        <v>327</v>
      </c>
      <c r="C18" s="391" t="s">
        <v>37</v>
      </c>
      <c r="D18" s="62">
        <f>SUM(D19:D20)</f>
        <v>106929487</v>
      </c>
      <c r="F18" s="424" t="s">
        <v>359</v>
      </c>
      <c r="G18" s="394" t="s">
        <v>193</v>
      </c>
      <c r="H18" s="63">
        <f>+'MAYOR Y BALANCE'!O77</f>
        <v>0</v>
      </c>
      <c r="I18" s="143"/>
      <c r="L18" s="211"/>
      <c r="M18" s="211"/>
    </row>
    <row r="19" spans="2:13" s="65" customFormat="1" ht="12.75">
      <c r="B19" s="411" t="s">
        <v>328</v>
      </c>
      <c r="C19" s="65" t="s">
        <v>254</v>
      </c>
      <c r="D19" s="66">
        <v>13080002</v>
      </c>
      <c r="F19" s="411" t="s">
        <v>360</v>
      </c>
      <c r="G19" s="65" t="s">
        <v>229</v>
      </c>
      <c r="H19" s="64">
        <f>+'MAYOR Y BALANCE'!O78</f>
        <v>0</v>
      </c>
      <c r="I19" s="143"/>
      <c r="L19" s="211"/>
      <c r="M19" s="211"/>
    </row>
    <row r="20" spans="2:13" s="65" customFormat="1" ht="12.75">
      <c r="B20" s="410" t="s">
        <v>329</v>
      </c>
      <c r="C20" s="393" t="s">
        <v>204</v>
      </c>
      <c r="D20" s="66">
        <v>93849485</v>
      </c>
      <c r="F20" s="425" t="s">
        <v>361</v>
      </c>
      <c r="G20" s="395" t="s">
        <v>31</v>
      </c>
      <c r="H20" s="67">
        <f>+H21</f>
        <v>116149918</v>
      </c>
      <c r="I20" s="143"/>
      <c r="L20" s="211"/>
      <c r="M20" s="211"/>
    </row>
    <row r="21" spans="2:13" s="65" customFormat="1" ht="12.75">
      <c r="B21" s="409" t="s">
        <v>330</v>
      </c>
      <c r="C21" s="391" t="s">
        <v>38</v>
      </c>
      <c r="D21" s="62">
        <v>78140000</v>
      </c>
      <c r="F21" s="424" t="s">
        <v>362</v>
      </c>
      <c r="G21" s="396" t="s">
        <v>344</v>
      </c>
      <c r="H21" s="63">
        <v>116149918</v>
      </c>
      <c r="I21" s="143"/>
      <c r="J21" s="211"/>
      <c r="K21" s="211"/>
      <c r="L21" s="211"/>
      <c r="M21" s="211"/>
    </row>
    <row r="22" spans="2:13" s="65" customFormat="1" ht="12.75">
      <c r="B22" s="410" t="s">
        <v>331</v>
      </c>
      <c r="C22" s="393" t="s">
        <v>39</v>
      </c>
      <c r="D22" s="66">
        <v>78140000</v>
      </c>
      <c r="F22" s="418" t="s">
        <v>363</v>
      </c>
      <c r="G22" s="389" t="s">
        <v>225</v>
      </c>
      <c r="H22" s="140">
        <f>SUM(H23:H27)</f>
        <v>17930374</v>
      </c>
      <c r="J22" s="211"/>
      <c r="K22" s="211"/>
      <c r="L22" s="211"/>
      <c r="M22" s="211"/>
    </row>
    <row r="23" spans="2:13" s="65" customFormat="1" ht="12.75">
      <c r="B23" s="409" t="s">
        <v>332</v>
      </c>
      <c r="C23" s="391" t="s">
        <v>41</v>
      </c>
      <c r="D23" s="67">
        <f>SUM(D24:D27)</f>
        <v>-225406874</v>
      </c>
      <c r="F23" s="411" t="s">
        <v>364</v>
      </c>
      <c r="G23" s="65" t="s">
        <v>14</v>
      </c>
      <c r="H23" s="141">
        <v>0</v>
      </c>
      <c r="J23" s="211"/>
      <c r="K23" s="211"/>
      <c r="L23" s="211"/>
      <c r="M23" s="211"/>
    </row>
    <row r="24" spans="2:13" s="65" customFormat="1" ht="12.75">
      <c r="B24" s="410" t="s">
        <v>333</v>
      </c>
      <c r="C24" s="393" t="s">
        <v>36</v>
      </c>
      <c r="D24" s="66">
        <v>-36119300</v>
      </c>
      <c r="F24" s="411" t="s">
        <v>365</v>
      </c>
      <c r="G24" s="65" t="s">
        <v>117</v>
      </c>
      <c r="H24" s="141">
        <v>0</v>
      </c>
      <c r="J24" s="211"/>
      <c r="K24" s="211"/>
      <c r="L24" s="211"/>
      <c r="M24" s="211"/>
    </row>
    <row r="25" spans="2:13" s="65" customFormat="1" ht="12.75">
      <c r="B25" s="412" t="s">
        <v>334</v>
      </c>
      <c r="C25" s="137" t="s">
        <v>34</v>
      </c>
      <c r="D25" s="138">
        <v>-83665449</v>
      </c>
      <c r="F25" s="411" t="s">
        <v>366</v>
      </c>
      <c r="G25" s="65" t="s">
        <v>239</v>
      </c>
      <c r="H25" s="141">
        <v>0</v>
      </c>
      <c r="J25" s="211"/>
      <c r="K25" s="211"/>
      <c r="L25" s="211"/>
      <c r="M25" s="211"/>
    </row>
    <row r="26" spans="2:13" s="65" customFormat="1" ht="12.75">
      <c r="B26" s="410" t="s">
        <v>335</v>
      </c>
      <c r="C26" s="393" t="s">
        <v>37</v>
      </c>
      <c r="D26" s="66">
        <v>-54831125</v>
      </c>
      <c r="F26" s="411" t="s">
        <v>367</v>
      </c>
      <c r="G26" s="65" t="s">
        <v>19</v>
      </c>
      <c r="H26" s="141">
        <v>0</v>
      </c>
      <c r="J26" s="211"/>
      <c r="K26" s="211"/>
      <c r="L26" s="211"/>
      <c r="M26" s="211"/>
    </row>
    <row r="27" spans="2:13" s="65" customFormat="1" ht="12.75">
      <c r="B27" s="413" t="s">
        <v>336</v>
      </c>
      <c r="C27" s="394" t="s">
        <v>42</v>
      </c>
      <c r="D27" s="66">
        <v>-50791000</v>
      </c>
      <c r="F27" s="411" t="s">
        <v>368</v>
      </c>
      <c r="G27" s="65" t="s">
        <v>225</v>
      </c>
      <c r="H27" s="141">
        <v>17930374</v>
      </c>
      <c r="J27" s="211"/>
      <c r="K27" s="211"/>
      <c r="L27" s="211"/>
      <c r="M27" s="211"/>
    </row>
    <row r="28" spans="2:13" s="65" customFormat="1" thickBot="1">
      <c r="B28" s="408">
        <v>1.9</v>
      </c>
      <c r="C28" s="392" t="s">
        <v>208</v>
      </c>
      <c r="D28" s="91">
        <f>D29+D32</f>
        <v>2149821089</v>
      </c>
      <c r="F28" s="425">
        <v>2.5</v>
      </c>
      <c r="G28" s="395" t="s">
        <v>234</v>
      </c>
      <c r="H28" s="67">
        <f>+H29</f>
        <v>74956236</v>
      </c>
      <c r="J28" s="211"/>
      <c r="K28" s="211"/>
      <c r="L28" s="211"/>
      <c r="M28" s="211"/>
    </row>
    <row r="29" spans="2:13" s="65" customFormat="1" thickTop="1">
      <c r="B29" s="409" t="s">
        <v>337</v>
      </c>
      <c r="C29" s="391" t="s">
        <v>158</v>
      </c>
      <c r="D29" s="62">
        <f>D31+D30</f>
        <v>267517</v>
      </c>
      <c r="F29" s="425" t="s">
        <v>369</v>
      </c>
      <c r="G29" s="395" t="s">
        <v>235</v>
      </c>
      <c r="H29" s="67">
        <f>SUM(H30:H36)</f>
        <v>74956236</v>
      </c>
      <c r="J29" s="211"/>
      <c r="K29" s="211"/>
      <c r="L29" s="211"/>
      <c r="M29" s="211"/>
    </row>
    <row r="30" spans="2:13" s="65" customFormat="1" ht="12.75">
      <c r="B30" s="410" t="s">
        <v>338</v>
      </c>
      <c r="C30" s="393" t="s">
        <v>195</v>
      </c>
      <c r="D30" s="66">
        <v>142517</v>
      </c>
      <c r="F30" s="424" t="s">
        <v>370</v>
      </c>
      <c r="G30" s="394" t="s">
        <v>144</v>
      </c>
      <c r="H30" s="63">
        <v>66925211</v>
      </c>
      <c r="J30" s="211"/>
      <c r="K30" s="211"/>
      <c r="L30" s="211"/>
      <c r="M30" s="211"/>
    </row>
    <row r="31" spans="2:13" s="65" customFormat="1" ht="12.75">
      <c r="B31" s="410" t="s">
        <v>339</v>
      </c>
      <c r="C31" s="393" t="s">
        <v>192</v>
      </c>
      <c r="D31" s="63">
        <v>125000</v>
      </c>
      <c r="F31" s="424" t="s">
        <v>371</v>
      </c>
      <c r="G31" s="394" t="s">
        <v>221</v>
      </c>
      <c r="H31" s="63">
        <v>8031025</v>
      </c>
      <c r="L31" s="211"/>
      <c r="M31" s="211"/>
    </row>
    <row r="32" spans="2:13" s="65" customFormat="1" ht="12.75">
      <c r="B32" s="409" t="s">
        <v>340</v>
      </c>
      <c r="C32" s="391" t="s">
        <v>211</v>
      </c>
      <c r="D32" s="62">
        <f>SUM(D33:D35)</f>
        <v>2149553572</v>
      </c>
      <c r="F32" s="424" t="s">
        <v>372</v>
      </c>
      <c r="G32" s="65" t="s">
        <v>75</v>
      </c>
      <c r="H32" s="63">
        <v>0</v>
      </c>
      <c r="L32" s="211"/>
      <c r="M32" s="211"/>
    </row>
    <row r="33" spans="2:13" s="65" customFormat="1" ht="12.75">
      <c r="B33" s="410" t="s">
        <v>341</v>
      </c>
      <c r="C33" s="393" t="s">
        <v>25</v>
      </c>
      <c r="D33" s="63">
        <v>1932741345</v>
      </c>
      <c r="F33" s="424" t="s">
        <v>373</v>
      </c>
      <c r="G33" s="65" t="s">
        <v>241</v>
      </c>
      <c r="H33" s="63">
        <v>0</v>
      </c>
      <c r="L33" s="211"/>
      <c r="M33" s="211"/>
    </row>
    <row r="34" spans="2:13" s="65" customFormat="1" ht="12.75">
      <c r="B34" s="410" t="s">
        <v>342</v>
      </c>
      <c r="C34" s="393" t="s">
        <v>24</v>
      </c>
      <c r="D34" s="63">
        <v>195188000</v>
      </c>
      <c r="F34" s="424" t="s">
        <v>374</v>
      </c>
      <c r="G34" s="65" t="s">
        <v>186</v>
      </c>
      <c r="H34" s="63">
        <v>0</v>
      </c>
      <c r="L34" s="211"/>
      <c r="M34" s="211"/>
    </row>
    <row r="35" spans="2:13" s="65" customFormat="1" ht="12.75">
      <c r="B35" s="410" t="s">
        <v>343</v>
      </c>
      <c r="C35" s="396" t="s">
        <v>205</v>
      </c>
      <c r="D35" s="63">
        <v>21624227</v>
      </c>
      <c r="F35" s="411" t="s">
        <v>375</v>
      </c>
      <c r="G35" s="65" t="s">
        <v>16</v>
      </c>
      <c r="H35" s="63">
        <v>0</v>
      </c>
      <c r="L35" s="211"/>
      <c r="M35" s="211"/>
    </row>
    <row r="36" spans="2:13" s="65" customFormat="1" ht="12.75">
      <c r="B36" s="410"/>
      <c r="D36" s="63"/>
      <c r="F36" s="411" t="s">
        <v>376</v>
      </c>
      <c r="G36" s="65" t="s">
        <v>17</v>
      </c>
      <c r="H36" s="63">
        <v>0</v>
      </c>
      <c r="L36" s="211"/>
      <c r="M36" s="211"/>
    </row>
    <row r="37" spans="2:13" s="65" customFormat="1" ht="15.75" thickBot="1">
      <c r="B37" s="518" t="s">
        <v>54</v>
      </c>
      <c r="C37" s="519"/>
      <c r="D37" s="75">
        <f>+D6</f>
        <v>9422091493</v>
      </c>
      <c r="F37" s="419"/>
      <c r="G37" s="76" t="s">
        <v>163</v>
      </c>
      <c r="H37" s="75">
        <f>H6</f>
        <v>209190904.99699998</v>
      </c>
      <c r="L37" s="211"/>
      <c r="M37" s="211"/>
    </row>
    <row r="38" spans="2:13" s="65" customFormat="1" ht="12.75">
      <c r="B38" s="414"/>
      <c r="F38" s="426">
        <v>3</v>
      </c>
      <c r="G38" s="256" t="s">
        <v>43</v>
      </c>
      <c r="H38" s="257">
        <f>+H39</f>
        <v>9212900587.7767925</v>
      </c>
      <c r="L38" s="211"/>
      <c r="M38" s="211"/>
    </row>
    <row r="39" spans="2:13" s="65" customFormat="1" ht="12.75">
      <c r="B39" s="411"/>
      <c r="F39" s="427">
        <v>32</v>
      </c>
      <c r="G39" s="397" t="s">
        <v>236</v>
      </c>
      <c r="H39" s="68">
        <f>+H40+H42</f>
        <v>9212900587.7767925</v>
      </c>
      <c r="J39" s="211"/>
      <c r="K39" s="211"/>
      <c r="L39" s="211"/>
      <c r="M39" s="211"/>
    </row>
    <row r="40" spans="2:13" s="65" customFormat="1" ht="12.75">
      <c r="B40" s="411"/>
      <c r="F40" s="425" t="s">
        <v>345</v>
      </c>
      <c r="G40" s="395" t="s">
        <v>346</v>
      </c>
      <c r="H40" s="68">
        <f>+H41</f>
        <v>11611824151</v>
      </c>
      <c r="J40" s="211"/>
      <c r="K40" s="211"/>
      <c r="L40" s="211"/>
      <c r="M40" s="211"/>
    </row>
    <row r="41" spans="2:13" s="65" customFormat="1" ht="12.75">
      <c r="B41" s="411"/>
      <c r="F41" s="424" t="s">
        <v>347</v>
      </c>
      <c r="G41" s="394" t="s">
        <v>47</v>
      </c>
      <c r="H41" s="74">
        <v>11611824151</v>
      </c>
      <c r="J41" s="211"/>
      <c r="K41" s="211"/>
      <c r="L41" s="211"/>
      <c r="M41" s="211"/>
    </row>
    <row r="42" spans="2:13" s="65" customFormat="1" ht="12.75">
      <c r="B42" s="411"/>
      <c r="F42" s="425" t="s">
        <v>348</v>
      </c>
      <c r="G42" s="395" t="s">
        <v>51</v>
      </c>
      <c r="H42" s="70">
        <f>+H43</f>
        <v>-2398923563.223208</v>
      </c>
      <c r="I42" s="278"/>
      <c r="L42" s="211"/>
      <c r="M42" s="211"/>
    </row>
    <row r="43" spans="2:13" s="65" customFormat="1" ht="12.75">
      <c r="B43" s="411"/>
      <c r="F43" s="424" t="s">
        <v>377</v>
      </c>
      <c r="G43" s="394" t="s">
        <v>349</v>
      </c>
      <c r="H43" s="69">
        <v>-2398923563.223208</v>
      </c>
      <c r="L43" s="211"/>
      <c r="M43" s="211"/>
    </row>
    <row r="44" spans="2:13" s="65" customFormat="1" ht="15.75" thickBot="1">
      <c r="B44" s="411"/>
      <c r="F44" s="518" t="s">
        <v>55</v>
      </c>
      <c r="G44" s="519"/>
      <c r="H44" s="75">
        <f>H38+H6</f>
        <v>9422091492.7737923</v>
      </c>
      <c r="I44" s="278"/>
      <c r="L44" s="211"/>
      <c r="M44" s="211"/>
    </row>
    <row r="45" spans="2:13">
      <c r="B45" s="411"/>
      <c r="C45" s="55"/>
      <c r="D45" s="55"/>
      <c r="F45" s="420"/>
      <c r="G45" s="55"/>
      <c r="H45" s="30"/>
      <c r="I45" s="119"/>
    </row>
    <row r="46" spans="2:13">
      <c r="B46" s="415"/>
      <c r="D46" s="119"/>
      <c r="F46" s="421"/>
      <c r="H46" s="30"/>
    </row>
    <row r="47" spans="2:13">
      <c r="B47" s="415"/>
      <c r="D47" s="119"/>
      <c r="H47" s="30"/>
    </row>
    <row r="48" spans="2:13">
      <c r="B48" s="415"/>
      <c r="F48" s="7"/>
      <c r="H48" s="12"/>
    </row>
    <row r="49" spans="2:13" s="55" customFormat="1">
      <c r="B49" s="503" t="s">
        <v>218</v>
      </c>
      <c r="C49" s="504"/>
      <c r="D49" s="1"/>
      <c r="E49" s="121" t="s">
        <v>277</v>
      </c>
      <c r="F49" s="401"/>
      <c r="G49" s="124"/>
      <c r="H49" s="125"/>
      <c r="J49" s="212"/>
      <c r="K49" s="212"/>
      <c r="L49" s="212"/>
      <c r="M49" s="212"/>
    </row>
    <row r="50" spans="2:13" s="55" customFormat="1">
      <c r="B50" s="503" t="s">
        <v>207</v>
      </c>
      <c r="C50" s="504"/>
      <c r="D50" s="1"/>
      <c r="E50" s="124" t="s">
        <v>281</v>
      </c>
      <c r="F50" s="401"/>
      <c r="G50" s="124"/>
      <c r="H50" s="125"/>
      <c r="J50" s="212"/>
      <c r="K50" s="212"/>
      <c r="L50" s="212"/>
      <c r="M50" s="212"/>
    </row>
    <row r="51" spans="2:13" s="55" customFormat="1">
      <c r="B51" s="507" t="s">
        <v>219</v>
      </c>
      <c r="C51" s="508"/>
      <c r="D51" s="1"/>
      <c r="E51" s="124" t="s">
        <v>57</v>
      </c>
      <c r="F51" s="401"/>
      <c r="G51" s="124"/>
      <c r="H51" s="125"/>
      <c r="J51" s="212"/>
      <c r="K51" s="212"/>
      <c r="L51" s="212"/>
      <c r="M51" s="212"/>
    </row>
    <row r="52" spans="2:13" ht="15">
      <c r="B52" s="416"/>
      <c r="C52" s="398"/>
      <c r="E52" s="132"/>
      <c r="G52" s="522" t="s">
        <v>311</v>
      </c>
      <c r="H52" s="523"/>
    </row>
    <row r="53" spans="2:13">
      <c r="B53" s="416"/>
      <c r="C53" s="398"/>
      <c r="H53" s="6"/>
    </row>
    <row r="54" spans="2:13">
      <c r="B54" s="505" t="s">
        <v>180</v>
      </c>
      <c r="C54" s="506"/>
      <c r="H54" s="6"/>
    </row>
    <row r="55" spans="2:13" ht="14.25" thickBot="1">
      <c r="B55" s="417"/>
      <c r="C55" s="32"/>
      <c r="D55" s="32"/>
      <c r="E55" s="32"/>
      <c r="F55" s="422"/>
      <c r="G55" s="32"/>
      <c r="H55" s="13"/>
    </row>
  </sheetData>
  <sortState xmlns:xlrd2="http://schemas.microsoft.com/office/spreadsheetml/2017/richdata2" ref="B33:D34">
    <sortCondition ref="B33"/>
  </sortState>
  <mergeCells count="14">
    <mergeCell ref="B50:C50"/>
    <mergeCell ref="B49:C49"/>
    <mergeCell ref="B54:C54"/>
    <mergeCell ref="B51:C51"/>
    <mergeCell ref="B1:H1"/>
    <mergeCell ref="B2:H2"/>
    <mergeCell ref="B3:H3"/>
    <mergeCell ref="B4:H4"/>
    <mergeCell ref="B5:H5"/>
    <mergeCell ref="F44:G44"/>
    <mergeCell ref="F6:G6"/>
    <mergeCell ref="B37:C37"/>
    <mergeCell ref="B6:C6"/>
    <mergeCell ref="G52:H52"/>
  </mergeCells>
  <pageMargins left="1.5748031496063" right="0.511811023622047" top="0.78740157480314998" bottom="0.78740157480314998" header="0.31496062992126" footer="0.23622047244094499"/>
  <pageSetup paperSize="5" scale="85" orientation="landscape" r:id="rId1"/>
  <headerFooter>
    <oddFooter>&amp;L&amp;12&amp;K0070C0&amp;A&amp;11&amp;K01+000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7"/>
  <sheetViews>
    <sheetView showGridLines="0" topLeftCell="A29" workbookViewId="0">
      <selection activeCell="L35" sqref="L35"/>
    </sheetView>
  </sheetViews>
  <sheetFormatPr baseColWidth="10" defaultRowHeight="15"/>
  <cols>
    <col min="1" max="1" width="6.85546875" customWidth="1"/>
    <col min="2" max="2" width="11.140625" style="442" customWidth="1"/>
    <col min="3" max="3" width="21.5703125" style="284" customWidth="1"/>
    <col min="4" max="4" width="12.28515625" style="284" customWidth="1"/>
    <col min="5" max="5" width="11.42578125" style="284" customWidth="1"/>
    <col min="6" max="6" width="11.5703125" style="284" customWidth="1"/>
    <col min="7" max="7" width="5.5703125" style="284" customWidth="1"/>
    <col min="8" max="8" width="8.28515625" style="442" customWidth="1"/>
    <col min="9" max="9" width="19.5703125" style="284" customWidth="1"/>
    <col min="10" max="10" width="13.7109375" style="284" customWidth="1"/>
    <col min="11" max="11" width="12.5703125" style="284" customWidth="1"/>
    <col min="12" max="12" width="12.140625" style="284" customWidth="1"/>
    <col min="13" max="13" width="8" style="284" customWidth="1"/>
    <col min="14" max="14" width="13.42578125" bestFit="1" customWidth="1"/>
  </cols>
  <sheetData>
    <row r="1" spans="2:14">
      <c r="B1" s="532" t="s">
        <v>269</v>
      </c>
      <c r="C1" s="533"/>
      <c r="D1" s="533"/>
      <c r="E1" s="533"/>
      <c r="F1" s="533"/>
      <c r="G1" s="533"/>
      <c r="H1" s="533"/>
      <c r="I1" s="533"/>
      <c r="J1" s="533"/>
      <c r="K1" s="533"/>
      <c r="L1" s="285"/>
      <c r="M1" s="286"/>
    </row>
    <row r="2" spans="2:14">
      <c r="B2" s="534" t="s">
        <v>166</v>
      </c>
      <c r="C2" s="535"/>
      <c r="D2" s="535"/>
      <c r="E2" s="535"/>
      <c r="F2" s="535"/>
      <c r="G2" s="535"/>
      <c r="H2" s="535"/>
      <c r="I2" s="535"/>
      <c r="J2" s="535"/>
      <c r="K2" s="535"/>
      <c r="L2" s="287"/>
      <c r="M2" s="288"/>
    </row>
    <row r="3" spans="2:14">
      <c r="B3" s="534" t="s">
        <v>257</v>
      </c>
      <c r="C3" s="535"/>
      <c r="D3" s="535"/>
      <c r="E3" s="535"/>
      <c r="F3" s="535"/>
      <c r="G3" s="535"/>
      <c r="H3" s="535"/>
      <c r="I3" s="535"/>
      <c r="J3" s="535"/>
      <c r="K3" s="535"/>
      <c r="L3" s="287"/>
      <c r="M3" s="288"/>
    </row>
    <row r="4" spans="2:14" ht="15.75" thickBot="1">
      <c r="B4" s="536" t="s">
        <v>309</v>
      </c>
      <c r="C4" s="537"/>
      <c r="D4" s="537"/>
      <c r="E4" s="537"/>
      <c r="F4" s="537"/>
      <c r="G4" s="537"/>
      <c r="H4" s="537"/>
      <c r="I4" s="537"/>
      <c r="J4" s="537"/>
      <c r="K4" s="537"/>
      <c r="L4" s="289"/>
      <c r="M4" s="290"/>
    </row>
    <row r="5" spans="2:14" ht="15.75" thickBot="1">
      <c r="B5" s="538"/>
      <c r="C5" s="539"/>
      <c r="D5" s="539"/>
      <c r="E5" s="539"/>
      <c r="F5" s="539"/>
      <c r="G5" s="539"/>
      <c r="H5" s="539"/>
      <c r="I5" s="539"/>
      <c r="J5" s="539"/>
      <c r="K5" s="539"/>
      <c r="L5" s="292"/>
      <c r="M5" s="293"/>
    </row>
    <row r="6" spans="2:14" ht="15.75" thickBot="1">
      <c r="B6" s="435"/>
      <c r="C6" s="291"/>
      <c r="D6" s="294">
        <v>2021</v>
      </c>
      <c r="E6" s="294">
        <v>2022</v>
      </c>
      <c r="F6" s="295" t="s">
        <v>384</v>
      </c>
      <c r="G6" s="296" t="s">
        <v>258</v>
      </c>
      <c r="H6" s="443"/>
      <c r="I6" s="291"/>
      <c r="J6" s="294">
        <v>2021</v>
      </c>
      <c r="K6" s="294">
        <v>2022</v>
      </c>
      <c r="L6" s="295" t="s">
        <v>384</v>
      </c>
      <c r="M6" s="297" t="s">
        <v>258</v>
      </c>
    </row>
    <row r="7" spans="2:14">
      <c r="B7" s="530" t="s">
        <v>2</v>
      </c>
      <c r="C7" s="531"/>
      <c r="D7" s="298">
        <f>+D8</f>
        <v>11851150742</v>
      </c>
      <c r="E7" s="299">
        <f>+E8</f>
        <v>9422091493</v>
      </c>
      <c r="F7" s="300">
        <f>+F8</f>
        <v>-2429059249</v>
      </c>
      <c r="G7" s="301">
        <f>+G8</f>
        <v>98.34</v>
      </c>
      <c r="H7" s="530" t="s">
        <v>3</v>
      </c>
      <c r="I7" s="531"/>
      <c r="J7" s="302">
        <f>+J8</f>
        <v>214013790</v>
      </c>
      <c r="K7" s="303">
        <f>+K8</f>
        <v>209190905.347</v>
      </c>
      <c r="L7" s="304">
        <f>+L8</f>
        <v>-4822884.652999999</v>
      </c>
      <c r="M7" s="305">
        <f>+M8</f>
        <v>99.999999999999972</v>
      </c>
      <c r="N7" s="277"/>
    </row>
    <row r="8" spans="2:14">
      <c r="B8" s="433">
        <v>1</v>
      </c>
      <c r="C8" s="434" t="s">
        <v>4</v>
      </c>
      <c r="D8" s="306">
        <f>+D9+D31+D14+D17</f>
        <v>11851150742</v>
      </c>
      <c r="E8" s="307">
        <f>+E9+E31+E14+E17</f>
        <v>9422091493</v>
      </c>
      <c r="F8" s="308">
        <f>+F9+F14+F17+F31</f>
        <v>-2429059249</v>
      </c>
      <c r="G8" s="309">
        <f>+G9+G31+G14+G17-1.66</f>
        <v>98.34</v>
      </c>
      <c r="H8" s="433">
        <v>2</v>
      </c>
      <c r="I8" s="434" t="s">
        <v>5</v>
      </c>
      <c r="J8" s="310">
        <f>+J9+J26</f>
        <v>214013790</v>
      </c>
      <c r="K8" s="310">
        <f>+K9+K26</f>
        <v>209190905.347</v>
      </c>
      <c r="L8" s="311">
        <f>+L9+L26</f>
        <v>-4822884.652999999</v>
      </c>
      <c r="M8" s="312">
        <f>+M9+M26</f>
        <v>99.999999999999972</v>
      </c>
      <c r="N8" s="277"/>
    </row>
    <row r="9" spans="2:14" ht="15.75" thickBot="1">
      <c r="B9" s="451">
        <v>1.1000000000000001</v>
      </c>
      <c r="C9" s="313" t="s">
        <v>313</v>
      </c>
      <c r="D9" s="314">
        <f>D12</f>
        <v>2661935847</v>
      </c>
      <c r="E9" s="315">
        <f>E12</f>
        <v>211241527</v>
      </c>
      <c r="F9" s="316">
        <f>F12</f>
        <v>-2450694320</v>
      </c>
      <c r="G9" s="317">
        <f>G12</f>
        <v>100.89067695688802</v>
      </c>
      <c r="H9" s="451">
        <v>2.4</v>
      </c>
      <c r="I9" s="313" t="s">
        <v>314</v>
      </c>
      <c r="J9" s="314">
        <f>+J10+J12+J21+J23</f>
        <v>135499962</v>
      </c>
      <c r="K9" s="315">
        <f>+K10+K12+K21+K23</f>
        <v>134234669.347</v>
      </c>
      <c r="L9" s="318">
        <f>+L10+L12+L21+L23</f>
        <v>-1265292.6529999985</v>
      </c>
      <c r="M9" s="319">
        <f>+M10+M12+M21+M23</f>
        <v>26.235183796339463</v>
      </c>
      <c r="N9" s="277"/>
    </row>
    <row r="10" spans="2:14" ht="15.75" thickTop="1">
      <c r="B10" s="437" t="s">
        <v>381</v>
      </c>
      <c r="C10" s="320" t="s">
        <v>7</v>
      </c>
      <c r="D10" s="321">
        <v>0</v>
      </c>
      <c r="E10" s="322">
        <v>0</v>
      </c>
      <c r="F10" s="322">
        <v>0</v>
      </c>
      <c r="G10" s="322">
        <v>0</v>
      </c>
      <c r="H10" s="444" t="s">
        <v>350</v>
      </c>
      <c r="I10" s="333" t="s">
        <v>227</v>
      </c>
      <c r="J10" s="331">
        <f>+J11</f>
        <v>154377</v>
      </c>
      <c r="K10" s="322">
        <f>+K11</f>
        <v>154377</v>
      </c>
      <c r="L10" s="322">
        <f>+L11</f>
        <v>0</v>
      </c>
      <c r="M10" s="332">
        <f>+M11</f>
        <v>0</v>
      </c>
    </row>
    <row r="11" spans="2:14">
      <c r="B11" s="438" t="s">
        <v>382</v>
      </c>
      <c r="C11" s="324" t="s">
        <v>9</v>
      </c>
      <c r="D11" s="325">
        <v>0</v>
      </c>
      <c r="E11" s="326">
        <v>0</v>
      </c>
      <c r="F11" s="327">
        <f>+E11-D11</f>
        <v>0</v>
      </c>
      <c r="G11" s="328">
        <f>+F11*100/F40</f>
        <v>0</v>
      </c>
      <c r="H11" s="440" t="s">
        <v>351</v>
      </c>
      <c r="I11" s="334" t="s">
        <v>190</v>
      </c>
      <c r="J11" s="335">
        <v>154377</v>
      </c>
      <c r="K11" s="335">
        <f>+'MAYOR Y BALANCE'!O68</f>
        <v>154377</v>
      </c>
      <c r="L11" s="330">
        <f>+K11-J11</f>
        <v>0</v>
      </c>
      <c r="M11" s="328">
        <f>+L11*100/L33</f>
        <v>0</v>
      </c>
    </row>
    <row r="12" spans="2:14">
      <c r="B12" s="437" t="s">
        <v>320</v>
      </c>
      <c r="C12" s="320" t="s">
        <v>11</v>
      </c>
      <c r="D12" s="331">
        <f>+D13</f>
        <v>2661935847</v>
      </c>
      <c r="E12" s="322">
        <f>+E13</f>
        <v>211241527</v>
      </c>
      <c r="F12" s="323">
        <f>SUM(F13:F16)</f>
        <v>-2450694320</v>
      </c>
      <c r="G12" s="332">
        <f>SUM(G13:G16)</f>
        <v>100.89067695688802</v>
      </c>
      <c r="H12" s="444" t="s">
        <v>352</v>
      </c>
      <c r="I12" s="333" t="s">
        <v>22</v>
      </c>
      <c r="J12" s="336">
        <f>SUM(J13:J20)</f>
        <v>493792</v>
      </c>
      <c r="K12" s="337">
        <f>SUM(K13:K20)</f>
        <v>-3.0000000260770321E-3</v>
      </c>
      <c r="L12" s="337">
        <f>SUM(L13:L20)</f>
        <v>-493792.00300000003</v>
      </c>
      <c r="M12" s="338">
        <f>SUM(M13:M20)</f>
        <v>10.238519859537684</v>
      </c>
    </row>
    <row r="13" spans="2:14">
      <c r="B13" s="438" t="s">
        <v>321</v>
      </c>
      <c r="C13" s="324" t="s">
        <v>12</v>
      </c>
      <c r="D13" s="325">
        <v>2661935847</v>
      </c>
      <c r="E13" s="326">
        <v>211241527</v>
      </c>
      <c r="F13" s="327">
        <f t="shared" ref="F13" si="0">+E13-D13</f>
        <v>-2450694320</v>
      </c>
      <c r="G13" s="328">
        <f>+F13*100/F40</f>
        <v>100.89067695688802</v>
      </c>
      <c r="H13" s="440" t="s">
        <v>353</v>
      </c>
      <c r="I13" s="334" t="s">
        <v>19</v>
      </c>
      <c r="J13" s="335">
        <v>666</v>
      </c>
      <c r="K13" s="335">
        <f>+'MAYOR Y BALANCE'!O71</f>
        <v>0</v>
      </c>
      <c r="L13" s="330">
        <f t="shared" ref="L13:L20" si="1">+K13-J13</f>
        <v>-666</v>
      </c>
      <c r="M13" s="328">
        <f>+L13*100/L33</f>
        <v>1.3809162937075951E-2</v>
      </c>
    </row>
    <row r="14" spans="2:14">
      <c r="B14" s="437">
        <v>1.3</v>
      </c>
      <c r="C14" s="333" t="s">
        <v>209</v>
      </c>
      <c r="D14" s="331">
        <f t="shared" ref="D14:G15" si="2">D15</f>
        <v>6917650505</v>
      </c>
      <c r="E14" s="322">
        <f t="shared" si="2"/>
        <v>6917650505</v>
      </c>
      <c r="F14" s="323">
        <f t="shared" si="2"/>
        <v>0</v>
      </c>
      <c r="G14" s="332">
        <f t="shared" si="2"/>
        <v>0</v>
      </c>
      <c r="H14" s="440" t="s">
        <v>354</v>
      </c>
      <c r="I14" s="334" t="s">
        <v>20</v>
      </c>
      <c r="J14" s="335">
        <v>490874</v>
      </c>
      <c r="K14" s="335">
        <f>+'MAYOR Y BALANCE'!O72</f>
        <v>0</v>
      </c>
      <c r="L14" s="330">
        <f t="shared" si="1"/>
        <v>-490874</v>
      </c>
      <c r="M14" s="328">
        <f>+L14*100/L33</f>
        <v>10.17801658794928</v>
      </c>
    </row>
    <row r="15" spans="2:14">
      <c r="B15" s="437" t="s">
        <v>322</v>
      </c>
      <c r="C15" s="333" t="s">
        <v>199</v>
      </c>
      <c r="D15" s="336">
        <f t="shared" si="2"/>
        <v>6917650505</v>
      </c>
      <c r="E15" s="337">
        <f t="shared" si="2"/>
        <v>6917650505</v>
      </c>
      <c r="F15" s="348">
        <f t="shared" si="2"/>
        <v>0</v>
      </c>
      <c r="G15" s="341">
        <f t="shared" si="2"/>
        <v>0</v>
      </c>
      <c r="H15" s="440" t="s">
        <v>355</v>
      </c>
      <c r="I15" s="334" t="s">
        <v>191</v>
      </c>
      <c r="J15" s="335">
        <v>0</v>
      </c>
      <c r="K15" s="335">
        <f>+'MAYOR Y BALANCE'!O73</f>
        <v>0</v>
      </c>
      <c r="L15" s="330">
        <f t="shared" si="1"/>
        <v>0</v>
      </c>
      <c r="M15" s="328">
        <f>+L15*100/L33</f>
        <v>0</v>
      </c>
    </row>
    <row r="16" spans="2:14">
      <c r="B16" s="438" t="s">
        <v>323</v>
      </c>
      <c r="C16" s="324" t="s">
        <v>198</v>
      </c>
      <c r="D16" s="335">
        <v>6917650505</v>
      </c>
      <c r="E16" s="326">
        <f>+'MAYOR Y BALANCE'!N34</f>
        <v>6917650505</v>
      </c>
      <c r="F16" s="327">
        <f>+E16-D16</f>
        <v>0</v>
      </c>
      <c r="G16" s="328">
        <f>+F16*100/F40</f>
        <v>0</v>
      </c>
      <c r="H16" s="440" t="s">
        <v>356</v>
      </c>
      <c r="I16" s="334" t="s">
        <v>29</v>
      </c>
      <c r="J16" s="335">
        <v>30</v>
      </c>
      <c r="K16" s="335">
        <f>+'MAYOR Y BALANCE'!O74</f>
        <v>-3.0000000260770321E-3</v>
      </c>
      <c r="L16" s="330">
        <f t="shared" si="1"/>
        <v>-30.003000000026077</v>
      </c>
      <c r="M16" s="328">
        <f>+L16*100/L33</f>
        <v>6.22096569972147E-4</v>
      </c>
    </row>
    <row r="17" spans="2:14" ht="15.75" thickBot="1">
      <c r="B17" s="436">
        <v>1.6</v>
      </c>
      <c r="C17" s="313" t="s">
        <v>315</v>
      </c>
      <c r="D17" s="314">
        <f>D18+D21+D24+D26</f>
        <v>143378372</v>
      </c>
      <c r="E17" s="315">
        <f>E18+E21+E24+E26</f>
        <v>143378372</v>
      </c>
      <c r="F17" s="318">
        <f>F18+F21+F24+F26</f>
        <v>0</v>
      </c>
      <c r="G17" s="317">
        <f>G18+G21+G24+G26</f>
        <v>0</v>
      </c>
      <c r="H17" s="440" t="s">
        <v>357</v>
      </c>
      <c r="I17" s="334" t="s">
        <v>230</v>
      </c>
      <c r="J17" s="335">
        <v>0</v>
      </c>
      <c r="K17" s="335">
        <f>+'MAYOR Y BALANCE'!O75</f>
        <v>0</v>
      </c>
      <c r="L17" s="330">
        <f t="shared" si="1"/>
        <v>0</v>
      </c>
      <c r="M17" s="328">
        <f>+L17*100/L33</f>
        <v>0</v>
      </c>
    </row>
    <row r="18" spans="2:14" ht="15.75" thickTop="1">
      <c r="B18" s="437" t="s">
        <v>324</v>
      </c>
      <c r="C18" s="320" t="s">
        <v>34</v>
      </c>
      <c r="D18" s="336">
        <f>D19+D20</f>
        <v>183715759</v>
      </c>
      <c r="E18" s="337">
        <f>E19+E20</f>
        <v>183715759</v>
      </c>
      <c r="F18" s="348">
        <f>F19+F20</f>
        <v>0</v>
      </c>
      <c r="G18" s="349">
        <f>+G19+G20</f>
        <v>0</v>
      </c>
      <c r="H18" s="440" t="s">
        <v>358</v>
      </c>
      <c r="I18" s="334" t="s">
        <v>228</v>
      </c>
      <c r="J18" s="335">
        <v>1973</v>
      </c>
      <c r="K18" s="335">
        <f>+'MAYOR Y BALANCE'!O76</f>
        <v>0</v>
      </c>
      <c r="L18" s="330">
        <f t="shared" si="1"/>
        <v>-1973</v>
      </c>
      <c r="M18" s="328">
        <f>+L18*100/L33</f>
        <v>4.0909126839115392E-2</v>
      </c>
    </row>
    <row r="19" spans="2:14">
      <c r="B19" s="438" t="s">
        <v>325</v>
      </c>
      <c r="C19" s="324" t="s">
        <v>35</v>
      </c>
      <c r="D19" s="329">
        <v>132116759</v>
      </c>
      <c r="E19" s="329">
        <v>132116759</v>
      </c>
      <c r="F19" s="327">
        <f t="shared" ref="F19:F20" si="3">+E19-D19</f>
        <v>0</v>
      </c>
      <c r="G19" s="328">
        <f>+F19*100/F40</f>
        <v>0</v>
      </c>
      <c r="H19" s="439" t="s">
        <v>359</v>
      </c>
      <c r="I19" s="339" t="s">
        <v>193</v>
      </c>
      <c r="J19" s="335">
        <v>249</v>
      </c>
      <c r="K19" s="335">
        <f>+'MAYOR Y BALANCE'!O77</f>
        <v>0</v>
      </c>
      <c r="L19" s="330">
        <f t="shared" si="1"/>
        <v>-249</v>
      </c>
      <c r="M19" s="328">
        <f>+L19*100/L33</f>
        <v>5.1628852422401081E-3</v>
      </c>
    </row>
    <row r="20" spans="2:14">
      <c r="B20" s="438" t="s">
        <v>326</v>
      </c>
      <c r="C20" s="324" t="s">
        <v>36</v>
      </c>
      <c r="D20" s="329">
        <v>51599000</v>
      </c>
      <c r="E20" s="329">
        <v>51599000</v>
      </c>
      <c r="F20" s="327">
        <f t="shared" si="3"/>
        <v>0</v>
      </c>
      <c r="G20" s="328">
        <f>+F20*100/F40</f>
        <v>0</v>
      </c>
      <c r="H20" s="440" t="s">
        <v>360</v>
      </c>
      <c r="I20" s="334" t="s">
        <v>229</v>
      </c>
      <c r="J20" s="335">
        <v>0</v>
      </c>
      <c r="K20" s="335">
        <f>+'MAYOR Y BALANCE'!O78</f>
        <v>0</v>
      </c>
      <c r="L20" s="330">
        <f t="shared" si="1"/>
        <v>0</v>
      </c>
      <c r="M20" s="328">
        <f>+L20*100/L33</f>
        <v>0</v>
      </c>
    </row>
    <row r="21" spans="2:14">
      <c r="B21" s="437" t="s">
        <v>327</v>
      </c>
      <c r="C21" s="320" t="s">
        <v>37</v>
      </c>
      <c r="D21" s="331">
        <f>SUM(D22:D23)</f>
        <v>106929487</v>
      </c>
      <c r="E21" s="331">
        <f>SUM(E22:E23)</f>
        <v>106929487</v>
      </c>
      <c r="F21" s="323">
        <f>F22+F23</f>
        <v>0</v>
      </c>
      <c r="G21" s="332">
        <f>G22+G23</f>
        <v>0</v>
      </c>
      <c r="H21" s="445" t="s">
        <v>361</v>
      </c>
      <c r="I21" s="340" t="s">
        <v>31</v>
      </c>
      <c r="J21" s="336">
        <f>SUM(J22:J22)</f>
        <v>116149916</v>
      </c>
      <c r="K21" s="336">
        <f>SUM(K22:K22)</f>
        <v>116149918</v>
      </c>
      <c r="L21" s="336">
        <f>SUM(L22:L22)</f>
        <v>2</v>
      </c>
      <c r="M21" s="341">
        <f>SUM(M22:M22)</f>
        <v>-4.1468957768996853E-5</v>
      </c>
    </row>
    <row r="22" spans="2:14">
      <c r="B22" s="438" t="s">
        <v>328</v>
      </c>
      <c r="C22" s="324" t="s">
        <v>254</v>
      </c>
      <c r="D22" s="329">
        <v>13080002</v>
      </c>
      <c r="E22" s="329">
        <v>13080002</v>
      </c>
      <c r="F22" s="327">
        <f>+E22-D22</f>
        <v>0</v>
      </c>
      <c r="G22" s="328">
        <v>0</v>
      </c>
      <c r="H22" s="439" t="s">
        <v>362</v>
      </c>
      <c r="I22" s="342" t="s">
        <v>344</v>
      </c>
      <c r="J22" s="335">
        <v>116149916</v>
      </c>
      <c r="K22" s="335">
        <v>116149918</v>
      </c>
      <c r="L22" s="330">
        <f>+K22-J22</f>
        <v>2</v>
      </c>
      <c r="M22" s="328">
        <f>+L22*100/L33</f>
        <v>-4.1468957768996853E-5</v>
      </c>
    </row>
    <row r="23" spans="2:14">
      <c r="B23" s="438" t="s">
        <v>329</v>
      </c>
      <c r="C23" s="324" t="s">
        <v>204</v>
      </c>
      <c r="D23" s="329">
        <v>93849485</v>
      </c>
      <c r="E23" s="329">
        <v>93849485</v>
      </c>
      <c r="F23" s="327">
        <f>+E23-D23</f>
        <v>0</v>
      </c>
      <c r="G23" s="328">
        <f>+F23*100/F40</f>
        <v>0</v>
      </c>
      <c r="H23" s="444" t="s">
        <v>363</v>
      </c>
      <c r="I23" s="333" t="s">
        <v>225</v>
      </c>
      <c r="J23" s="343">
        <f>SUM(J24:J25)</f>
        <v>18701877</v>
      </c>
      <c r="K23" s="344">
        <f>SUM(K24:K25)</f>
        <v>17930374.350000001</v>
      </c>
      <c r="L23" s="345">
        <f>SUM(L24:L25)</f>
        <v>-771502.64999999851</v>
      </c>
      <c r="M23" s="346">
        <f>SUM(M24:M25)</f>
        <v>15.996705405759549</v>
      </c>
    </row>
    <row r="24" spans="2:14">
      <c r="B24" s="437" t="s">
        <v>330</v>
      </c>
      <c r="C24" s="320" t="s">
        <v>38</v>
      </c>
      <c r="D24" s="331">
        <f>D25</f>
        <v>78140000</v>
      </c>
      <c r="E24" s="322">
        <f>E25</f>
        <v>78140000</v>
      </c>
      <c r="F24" s="323">
        <f>F25</f>
        <v>0</v>
      </c>
      <c r="G24" s="332">
        <f>G25</f>
        <v>0</v>
      </c>
      <c r="H24" s="440" t="s">
        <v>364</v>
      </c>
      <c r="I24" s="334" t="s">
        <v>14</v>
      </c>
      <c r="J24" s="347">
        <v>771503</v>
      </c>
      <c r="K24" s="347">
        <f>+'MAYOR Y BALANCE'!O92</f>
        <v>0</v>
      </c>
      <c r="L24" s="330">
        <f>+K24-J24</f>
        <v>-771503</v>
      </c>
      <c r="M24" s="328">
        <f>+L24*100/L33</f>
        <v>15.996712662827189</v>
      </c>
    </row>
    <row r="25" spans="2:14">
      <c r="B25" s="438" t="s">
        <v>331</v>
      </c>
      <c r="C25" s="324" t="s">
        <v>39</v>
      </c>
      <c r="D25" s="329">
        <v>78140000</v>
      </c>
      <c r="E25" s="329">
        <v>78140000</v>
      </c>
      <c r="F25" s="327">
        <f>+E25-D25</f>
        <v>0</v>
      </c>
      <c r="G25" s="328">
        <f>+F25*100/F40</f>
        <v>0</v>
      </c>
      <c r="H25" s="440" t="s">
        <v>368</v>
      </c>
      <c r="I25" s="334" t="s">
        <v>213</v>
      </c>
      <c r="J25" s="347">
        <v>17930374</v>
      </c>
      <c r="K25" s="347">
        <f>+'MAYOR Y BALANCE'!O98</f>
        <v>17930374.350000001</v>
      </c>
      <c r="L25" s="330">
        <f>+K25-J25</f>
        <v>0.35000000149011612</v>
      </c>
      <c r="M25" s="328">
        <f>+L25*100/L33</f>
        <v>-7.2570676404712306E-6</v>
      </c>
    </row>
    <row r="26" spans="2:14">
      <c r="B26" s="437" t="s">
        <v>332</v>
      </c>
      <c r="C26" s="320" t="s">
        <v>41</v>
      </c>
      <c r="D26" s="336">
        <f>SUM(D27:D30)</f>
        <v>-225406874</v>
      </c>
      <c r="E26" s="337">
        <f>SUM(E27:E30)</f>
        <v>-225406874</v>
      </c>
      <c r="F26" s="348">
        <f>SUM(F27:F30)</f>
        <v>0</v>
      </c>
      <c r="G26" s="341">
        <f>SUM(G27:G30)</f>
        <v>0</v>
      </c>
      <c r="H26" s="445">
        <v>2.5</v>
      </c>
      <c r="I26" s="340" t="s">
        <v>234</v>
      </c>
      <c r="J26" s="336">
        <f>+J27</f>
        <v>78513828</v>
      </c>
      <c r="K26" s="337">
        <f>+K27</f>
        <v>74956236</v>
      </c>
      <c r="L26" s="348">
        <f>+L27</f>
        <v>-3557592</v>
      </c>
      <c r="M26" s="341">
        <f>+M27</f>
        <v>73.764816203660516</v>
      </c>
    </row>
    <row r="27" spans="2:14">
      <c r="B27" s="438" t="s">
        <v>333</v>
      </c>
      <c r="C27" s="324" t="s">
        <v>36</v>
      </c>
      <c r="D27" s="329">
        <v>-36119300</v>
      </c>
      <c r="E27" s="329">
        <v>-36119300</v>
      </c>
      <c r="F27" s="327">
        <f t="shared" ref="F27:F30" si="4">+E27-D27</f>
        <v>0</v>
      </c>
      <c r="G27" s="328">
        <f>+F27*100/F40</f>
        <v>0</v>
      </c>
      <c r="H27" s="445" t="s">
        <v>369</v>
      </c>
      <c r="I27" s="340" t="s">
        <v>235</v>
      </c>
      <c r="J27" s="336">
        <f>SUM(J28:J32)</f>
        <v>78513828</v>
      </c>
      <c r="K27" s="337">
        <f>SUM(K28:K32)</f>
        <v>74956236</v>
      </c>
      <c r="L27" s="348">
        <f>SUM(L28:L32)</f>
        <v>-3557592</v>
      </c>
      <c r="M27" s="341">
        <f>SUM(M28:M32)</f>
        <v>73.764816203660516</v>
      </c>
    </row>
    <row r="28" spans="2:14">
      <c r="B28" s="438" t="s">
        <v>334</v>
      </c>
      <c r="C28" s="324" t="s">
        <v>34</v>
      </c>
      <c r="D28" s="329">
        <v>-83665449</v>
      </c>
      <c r="E28" s="329">
        <v>-83665449</v>
      </c>
      <c r="F28" s="327">
        <f t="shared" si="4"/>
        <v>0</v>
      </c>
      <c r="G28" s="328">
        <f>+F28*100/F40</f>
        <v>0</v>
      </c>
      <c r="H28" s="439" t="s">
        <v>370</v>
      </c>
      <c r="I28" s="339" t="s">
        <v>144</v>
      </c>
      <c r="J28" s="335">
        <v>63059552</v>
      </c>
      <c r="K28" s="335">
        <f>+'MAYOR Y BALANCE'!O102</f>
        <v>66925211</v>
      </c>
      <c r="L28" s="327">
        <f>+K28-J28</f>
        <v>3865659</v>
      </c>
      <c r="M28" s="328">
        <f>+L28*100/L33</f>
        <v>-80.152424910171305</v>
      </c>
    </row>
    <row r="29" spans="2:14">
      <c r="B29" s="438" t="s">
        <v>335</v>
      </c>
      <c r="C29" s="324" t="s">
        <v>37</v>
      </c>
      <c r="D29" s="329">
        <v>-54831125</v>
      </c>
      <c r="E29" s="329">
        <v>-54831125</v>
      </c>
      <c r="F29" s="327">
        <f t="shared" si="4"/>
        <v>0</v>
      </c>
      <c r="G29" s="328">
        <f>+F29*100/F40</f>
        <v>0</v>
      </c>
      <c r="H29" s="439" t="s">
        <v>371</v>
      </c>
      <c r="I29" s="339" t="s">
        <v>221</v>
      </c>
      <c r="J29" s="335">
        <v>7562800</v>
      </c>
      <c r="K29" s="335">
        <f>+'MAYOR Y BALANCE'!O103</f>
        <v>8031025</v>
      </c>
      <c r="L29" s="330">
        <f>+K29-J29</f>
        <v>468225</v>
      </c>
      <c r="M29" s="328">
        <f>+L29*100/L33</f>
        <v>-9.708401375694276</v>
      </c>
    </row>
    <row r="30" spans="2:14">
      <c r="B30" s="439" t="s">
        <v>336</v>
      </c>
      <c r="C30" s="339" t="s">
        <v>42</v>
      </c>
      <c r="D30" s="329">
        <v>-50791000</v>
      </c>
      <c r="E30" s="329">
        <v>-50791000</v>
      </c>
      <c r="F30" s="327">
        <f t="shared" si="4"/>
        <v>0</v>
      </c>
      <c r="G30" s="328">
        <f>+F30*100/F40</f>
        <v>0</v>
      </c>
      <c r="H30" s="440" t="s">
        <v>372</v>
      </c>
      <c r="I30" s="334" t="s">
        <v>75</v>
      </c>
      <c r="J30" s="335">
        <v>2818436</v>
      </c>
      <c r="K30" s="335">
        <f>+'MAYOR Y BALANCE'!O104</f>
        <v>0</v>
      </c>
      <c r="L30" s="330">
        <f>+K30-J30</f>
        <v>-2818436</v>
      </c>
      <c r="M30" s="328">
        <f>+L30*100/L33</f>
        <v>58.438801729310207</v>
      </c>
      <c r="N30" s="277"/>
    </row>
    <row r="31" spans="2:14" ht="15.75" thickBot="1">
      <c r="B31" s="436">
        <v>1.9</v>
      </c>
      <c r="C31" s="313" t="s">
        <v>208</v>
      </c>
      <c r="D31" s="314">
        <f>D32+D35</f>
        <v>2128186018</v>
      </c>
      <c r="E31" s="315">
        <f>E32+E35</f>
        <v>2149821089</v>
      </c>
      <c r="F31" s="318">
        <f>F32+F35</f>
        <v>21635071</v>
      </c>
      <c r="G31" s="317">
        <f>G32+G35</f>
        <v>-0.89067695688801207</v>
      </c>
      <c r="H31" s="440" t="s">
        <v>373</v>
      </c>
      <c r="I31" s="334" t="s">
        <v>241</v>
      </c>
      <c r="J31" s="335">
        <v>2818436</v>
      </c>
      <c r="K31" s="335">
        <f>+'MAYOR Y BALANCE'!O105</f>
        <v>0</v>
      </c>
      <c r="L31" s="330">
        <f>+K31-J31</f>
        <v>-2818436</v>
      </c>
      <c r="M31" s="328">
        <f>+L31*100/L33</f>
        <v>58.438801729310207</v>
      </c>
    </row>
    <row r="32" spans="2:14" ht="16.5" thickTop="1" thickBot="1">
      <c r="B32" s="437" t="s">
        <v>337</v>
      </c>
      <c r="C32" s="320" t="s">
        <v>158</v>
      </c>
      <c r="D32" s="331">
        <f>D34+D33</f>
        <v>968446</v>
      </c>
      <c r="E32" s="322">
        <f>E34+E33</f>
        <v>267517</v>
      </c>
      <c r="F32" s="323">
        <f>F34+F33</f>
        <v>-700929</v>
      </c>
      <c r="G32" s="332">
        <f>G34+G33</f>
        <v>2.88559861307854E-2</v>
      </c>
      <c r="H32" s="440" t="s">
        <v>374</v>
      </c>
      <c r="I32" s="334" t="s">
        <v>259</v>
      </c>
      <c r="J32" s="335">
        <v>2254604</v>
      </c>
      <c r="K32" s="335">
        <f>+'MAYOR Y BALANCE'!O106</f>
        <v>0</v>
      </c>
      <c r="L32" s="330">
        <f>+K32-J32</f>
        <v>-2254604</v>
      </c>
      <c r="M32" s="328">
        <f>+L32*100/L33</f>
        <v>46.748039030905687</v>
      </c>
    </row>
    <row r="33" spans="2:14" ht="15.75" thickBot="1">
      <c r="B33" s="438" t="s">
        <v>338</v>
      </c>
      <c r="C33" s="324" t="s">
        <v>195</v>
      </c>
      <c r="D33" s="329">
        <v>630946</v>
      </c>
      <c r="E33" s="329">
        <v>142517</v>
      </c>
      <c r="F33" s="330">
        <f>+E33-D33</f>
        <v>-488429</v>
      </c>
      <c r="G33" s="328">
        <f>+F33*100/F40</f>
        <v>2.0107743366123219E-2</v>
      </c>
      <c r="H33" s="446"/>
      <c r="I33" s="428" t="s">
        <v>380</v>
      </c>
      <c r="J33" s="406">
        <f>J7</f>
        <v>214013790</v>
      </c>
      <c r="K33" s="406">
        <f>K7</f>
        <v>209190905.347</v>
      </c>
      <c r="L33" s="406">
        <f>L7</f>
        <v>-4822884.652999999</v>
      </c>
      <c r="M33" s="429">
        <f>M7</f>
        <v>99.999999999999972</v>
      </c>
    </row>
    <row r="34" spans="2:14" ht="15.75" thickBot="1">
      <c r="B34" s="438" t="s">
        <v>339</v>
      </c>
      <c r="C34" s="324" t="s">
        <v>192</v>
      </c>
      <c r="D34" s="329">
        <v>337500</v>
      </c>
      <c r="E34" s="329">
        <v>125000</v>
      </c>
      <c r="F34" s="330">
        <f>+E34-D34</f>
        <v>-212500</v>
      </c>
      <c r="G34" s="328">
        <f>+F34*100/F40</f>
        <v>8.7482427646621806E-3</v>
      </c>
      <c r="H34" s="430">
        <v>3</v>
      </c>
      <c r="I34" s="430" t="s">
        <v>43</v>
      </c>
      <c r="J34" s="431">
        <f>+J35</f>
        <v>11637136952</v>
      </c>
      <c r="K34" s="431">
        <f>+K35</f>
        <v>9212900588</v>
      </c>
      <c r="L34" s="431">
        <f>+L35</f>
        <v>-2424236364</v>
      </c>
      <c r="M34" s="432">
        <f>+M35</f>
        <v>99.999999999999986</v>
      </c>
    </row>
    <row r="35" spans="2:14">
      <c r="B35" s="437" t="s">
        <v>340</v>
      </c>
      <c r="C35" s="320" t="s">
        <v>317</v>
      </c>
      <c r="D35" s="331">
        <f>SUM(D36:D39)</f>
        <v>2127217572</v>
      </c>
      <c r="E35" s="322">
        <f>SUM(E36:E39)</f>
        <v>2149553572</v>
      </c>
      <c r="F35" s="323">
        <f>SUM(F36:F39)</f>
        <v>22336000</v>
      </c>
      <c r="G35" s="332">
        <f>SUM(G36:G39)</f>
        <v>-0.91953294301879751</v>
      </c>
      <c r="H35" s="447">
        <v>3.2</v>
      </c>
      <c r="I35" s="352" t="s">
        <v>316</v>
      </c>
      <c r="J35" s="353">
        <f>+J36+J38</f>
        <v>11637136952</v>
      </c>
      <c r="K35" s="353">
        <f t="shared" ref="K35:M35" si="5">+K36+K38</f>
        <v>9212900588</v>
      </c>
      <c r="L35" s="353">
        <f t="shared" si="5"/>
        <v>-2424236364</v>
      </c>
      <c r="M35" s="353">
        <f t="shared" si="5"/>
        <v>99.999999999999986</v>
      </c>
    </row>
    <row r="36" spans="2:14">
      <c r="B36" s="438" t="s">
        <v>383</v>
      </c>
      <c r="C36" s="324" t="s">
        <v>23</v>
      </c>
      <c r="D36" s="335">
        <v>0</v>
      </c>
      <c r="E36" s="335">
        <v>0</v>
      </c>
      <c r="F36" s="327">
        <f t="shared" ref="F36:F39" si="6">+E36-D36</f>
        <v>0</v>
      </c>
      <c r="G36" s="328">
        <f>+F36*100/F40</f>
        <v>0</v>
      </c>
      <c r="H36" s="445" t="s">
        <v>345</v>
      </c>
      <c r="I36" s="340" t="s">
        <v>319</v>
      </c>
      <c r="J36" s="353">
        <f>+J37</f>
        <v>10931645179</v>
      </c>
      <c r="K36" s="353">
        <f t="shared" ref="K36:M36" si="7">+K37</f>
        <v>11611824151</v>
      </c>
      <c r="L36" s="353">
        <f t="shared" si="7"/>
        <v>680178972</v>
      </c>
      <c r="M36" s="353">
        <f t="shared" si="7"/>
        <v>-28.057452734423219</v>
      </c>
    </row>
    <row r="37" spans="2:14">
      <c r="B37" s="438" t="s">
        <v>342</v>
      </c>
      <c r="C37" s="324" t="s">
        <v>24</v>
      </c>
      <c r="D37" s="335">
        <v>172852000</v>
      </c>
      <c r="E37" s="335">
        <v>195188000</v>
      </c>
      <c r="F37" s="327">
        <f t="shared" si="6"/>
        <v>22336000</v>
      </c>
      <c r="G37" s="328">
        <f>+F37*100/F40</f>
        <v>-0.91953294301879751</v>
      </c>
      <c r="H37" s="439" t="s">
        <v>347</v>
      </c>
      <c r="I37" s="339" t="s">
        <v>319</v>
      </c>
      <c r="J37" s="354">
        <v>10931645179</v>
      </c>
      <c r="K37" s="354">
        <v>11611824151</v>
      </c>
      <c r="L37" s="330">
        <f>+K37-J37</f>
        <v>680178972</v>
      </c>
      <c r="M37" s="328">
        <f>+L37*100/L34</f>
        <v>-28.057452734423219</v>
      </c>
    </row>
    <row r="38" spans="2:14">
      <c r="B38" s="438" t="s">
        <v>341</v>
      </c>
      <c r="C38" s="324" t="s">
        <v>25</v>
      </c>
      <c r="D38" s="335">
        <v>1932741345</v>
      </c>
      <c r="E38" s="335">
        <v>1932741345</v>
      </c>
      <c r="F38" s="327">
        <f t="shared" si="6"/>
        <v>0</v>
      </c>
      <c r="G38" s="328">
        <f>+F38*100/F40</f>
        <v>0</v>
      </c>
      <c r="H38" s="445" t="s">
        <v>348</v>
      </c>
      <c r="I38" s="340" t="s">
        <v>51</v>
      </c>
      <c r="J38" s="355">
        <f>SUM(J39:J39)</f>
        <v>705491773</v>
      </c>
      <c r="K38" s="355">
        <f>SUM(K39:K39)</f>
        <v>-2398923563</v>
      </c>
      <c r="L38" s="355">
        <f>SUM(L39:L39)</f>
        <v>-3104415336</v>
      </c>
      <c r="M38" s="356">
        <f>+M39</f>
        <v>128.05745273442321</v>
      </c>
      <c r="N38" s="277"/>
    </row>
    <row r="39" spans="2:14">
      <c r="B39" s="438" t="s">
        <v>343</v>
      </c>
      <c r="C39" s="342" t="s">
        <v>205</v>
      </c>
      <c r="D39" s="335">
        <v>21624227</v>
      </c>
      <c r="E39" s="335">
        <v>21624227</v>
      </c>
      <c r="F39" s="327">
        <f t="shared" si="6"/>
        <v>0</v>
      </c>
      <c r="G39" s="328">
        <f>+F39*100/F40</f>
        <v>0</v>
      </c>
      <c r="H39" s="439" t="s">
        <v>377</v>
      </c>
      <c r="I39" s="339" t="s">
        <v>237</v>
      </c>
      <c r="J39" s="357">
        <v>705491773</v>
      </c>
      <c r="K39" s="357">
        <v>-2398923563</v>
      </c>
      <c r="L39" s="330">
        <f>+K39-J39</f>
        <v>-3104415336</v>
      </c>
      <c r="M39" s="328">
        <f>+L39*100/L34</f>
        <v>128.05745273442321</v>
      </c>
    </row>
    <row r="40" spans="2:14" ht="15.75" thickBot="1">
      <c r="B40" s="526" t="s">
        <v>54</v>
      </c>
      <c r="C40" s="527"/>
      <c r="D40" s="359">
        <f>+D7</f>
        <v>11851150742</v>
      </c>
      <c r="E40" s="351">
        <f>+E7</f>
        <v>9422091493</v>
      </c>
      <c r="F40" s="360">
        <f>+F7</f>
        <v>-2429059249</v>
      </c>
      <c r="G40" s="361">
        <f>+G7</f>
        <v>98.34</v>
      </c>
      <c r="H40" s="526" t="s">
        <v>55</v>
      </c>
      <c r="I40" s="527"/>
      <c r="J40" s="350">
        <f>J34+J7</f>
        <v>11851150742</v>
      </c>
      <c r="K40" s="351">
        <f>K34+K7</f>
        <v>9422091493.3470001</v>
      </c>
      <c r="L40" s="351">
        <f>+L7</f>
        <v>-4822884.652999999</v>
      </c>
      <c r="M40" s="361">
        <v>100</v>
      </c>
    </row>
    <row r="41" spans="2:14">
      <c r="B41" s="440"/>
      <c r="C41" s="358"/>
      <c r="D41" s="362"/>
      <c r="E41" s="363"/>
      <c r="F41" s="363"/>
      <c r="G41" s="364"/>
      <c r="H41" s="448"/>
      <c r="I41" s="358"/>
      <c r="J41" s="358"/>
      <c r="K41" s="323"/>
      <c r="L41" s="365"/>
      <c r="M41" s="366"/>
      <c r="N41" s="277"/>
    </row>
    <row r="42" spans="2:14">
      <c r="B42" s="440"/>
      <c r="C42" s="358"/>
      <c r="D42" s="362"/>
      <c r="E42" s="363"/>
      <c r="F42" s="363"/>
      <c r="G42" s="358"/>
      <c r="H42" s="448"/>
      <c r="I42" s="358"/>
      <c r="J42" s="358"/>
      <c r="K42" s="323"/>
      <c r="L42" s="323"/>
      <c r="M42" s="367"/>
    </row>
    <row r="43" spans="2:14">
      <c r="B43" s="440"/>
      <c r="C43" s="358"/>
      <c r="D43" s="362"/>
      <c r="E43" s="363"/>
      <c r="F43" s="358"/>
      <c r="G43" s="358"/>
      <c r="H43" s="449"/>
      <c r="I43" s="358"/>
      <c r="J43" s="358"/>
      <c r="K43" s="327"/>
      <c r="L43" s="327"/>
      <c r="M43" s="367"/>
    </row>
    <row r="44" spans="2:14">
      <c r="B44" s="528" t="s">
        <v>218</v>
      </c>
      <c r="C44" s="529"/>
      <c r="D44" s="348"/>
      <c r="E44" s="358"/>
      <c r="F44" s="358"/>
      <c r="G44" s="283" t="s">
        <v>277</v>
      </c>
      <c r="H44" s="448"/>
      <c r="I44" s="358"/>
      <c r="J44" s="283"/>
      <c r="K44" s="283"/>
      <c r="L44" s="283"/>
      <c r="M44" s="367"/>
    </row>
    <row r="45" spans="2:14">
      <c r="B45" s="528" t="s">
        <v>270</v>
      </c>
      <c r="C45" s="529"/>
      <c r="D45" s="348"/>
      <c r="E45" s="358"/>
      <c r="F45" s="358"/>
      <c r="G45" s="283" t="s">
        <v>280</v>
      </c>
      <c r="H45" s="448"/>
      <c r="I45" s="358"/>
      <c r="J45" s="283"/>
      <c r="K45" s="283"/>
      <c r="L45" s="283"/>
      <c r="M45" s="367"/>
    </row>
    <row r="46" spans="2:14">
      <c r="B46" s="524" t="s">
        <v>219</v>
      </c>
      <c r="C46" s="525"/>
      <c r="D46" s="368"/>
      <c r="E46" s="358"/>
      <c r="F46" s="358"/>
      <c r="G46" s="283" t="s">
        <v>57</v>
      </c>
      <c r="H46" s="448"/>
      <c r="I46" s="358"/>
      <c r="J46" s="283"/>
      <c r="K46" s="283"/>
      <c r="L46" s="283"/>
      <c r="M46" s="367"/>
    </row>
    <row r="47" spans="2:14" ht="15.75" thickBot="1">
      <c r="B47" s="441"/>
      <c r="C47" s="369"/>
      <c r="D47" s="370"/>
      <c r="E47" s="369"/>
      <c r="F47" s="369"/>
      <c r="G47" s="369"/>
      <c r="H47" s="450"/>
      <c r="I47" s="369"/>
      <c r="J47" s="371" t="s">
        <v>312</v>
      </c>
      <c r="K47" s="369"/>
      <c r="L47" s="369"/>
      <c r="M47" s="372"/>
    </row>
  </sheetData>
  <mergeCells count="12">
    <mergeCell ref="B7:C7"/>
    <mergeCell ref="H7:I7"/>
    <mergeCell ref="B1:K1"/>
    <mergeCell ref="B2:K2"/>
    <mergeCell ref="B3:K3"/>
    <mergeCell ref="B4:K4"/>
    <mergeCell ref="B5:K5"/>
    <mergeCell ref="B46:C46"/>
    <mergeCell ref="B40:C40"/>
    <mergeCell ref="H40:I40"/>
    <mergeCell ref="B44:C44"/>
    <mergeCell ref="B45:C45"/>
  </mergeCells>
  <pageMargins left="0.7" right="0.7" top="0.5" bottom="0.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65"/>
  <sheetViews>
    <sheetView topLeftCell="A232" zoomScale="75" zoomScaleNormal="75" workbookViewId="0">
      <selection activeCell="B13" sqref="B13"/>
    </sheetView>
  </sheetViews>
  <sheetFormatPr baseColWidth="10" defaultColWidth="11.42578125" defaultRowHeight="14.25"/>
  <cols>
    <col min="1" max="2" width="11.42578125" style="2"/>
    <col min="3" max="3" width="9.7109375" style="10" customWidth="1"/>
    <col min="4" max="4" width="72" style="11" customWidth="1"/>
    <col min="5" max="5" width="15.42578125" style="36" customWidth="1"/>
    <col min="6" max="11" width="14.28515625" style="10" customWidth="1"/>
    <col min="12" max="12" width="16.140625" style="272" customWidth="1"/>
    <col min="13" max="13" width="15.42578125" style="272" customWidth="1"/>
    <col min="14" max="14" width="17.28515625" style="2" customWidth="1"/>
    <col min="15" max="15" width="17.42578125" style="2" customWidth="1"/>
    <col min="16" max="16384" width="11.42578125" style="2"/>
  </cols>
  <sheetData>
    <row r="1" spans="1:24">
      <c r="C1" s="548" t="s">
        <v>106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50"/>
      <c r="P1" s="39"/>
    </row>
    <row r="2" spans="1:24">
      <c r="C2" s="551" t="s">
        <v>107</v>
      </c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3"/>
      <c r="P2" s="39"/>
    </row>
    <row r="3" spans="1:24">
      <c r="C3" s="551" t="s">
        <v>108</v>
      </c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3"/>
      <c r="P3" s="39"/>
    </row>
    <row r="4" spans="1:24" ht="15" thickBot="1">
      <c r="C4" s="554" t="s">
        <v>166</v>
      </c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6"/>
      <c r="P4" s="39"/>
    </row>
    <row r="5" spans="1:24" ht="15" thickBot="1">
      <c r="C5" s="557" t="s">
        <v>275</v>
      </c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9"/>
      <c r="P5" s="39"/>
    </row>
    <row r="6" spans="1:24" s="49" customFormat="1" ht="15.75" customHeight="1">
      <c r="A6" s="2"/>
      <c r="B6" s="2"/>
      <c r="C6" s="560" t="s">
        <v>109</v>
      </c>
      <c r="D6" s="562" t="s">
        <v>110</v>
      </c>
      <c r="E6" s="564" t="s">
        <v>318</v>
      </c>
      <c r="F6" s="544" t="s">
        <v>164</v>
      </c>
      <c r="G6" s="545"/>
      <c r="H6" s="544" t="s">
        <v>159</v>
      </c>
      <c r="I6" s="545"/>
      <c r="J6" s="544" t="s">
        <v>182</v>
      </c>
      <c r="K6" s="545"/>
      <c r="L6" s="566" t="s">
        <v>184</v>
      </c>
      <c r="M6" s="566"/>
      <c r="N6" s="546" t="s">
        <v>185</v>
      </c>
      <c r="O6" s="547"/>
      <c r="P6" s="39"/>
      <c r="Q6" s="2"/>
      <c r="R6" s="2"/>
      <c r="S6" s="2"/>
      <c r="T6" s="2"/>
      <c r="U6" s="2"/>
      <c r="V6" s="2"/>
      <c r="W6" s="2"/>
      <c r="X6" s="2"/>
    </row>
    <row r="7" spans="1:24" s="49" customFormat="1">
      <c r="A7" s="2"/>
      <c r="B7" s="2"/>
      <c r="C7" s="561"/>
      <c r="D7" s="563"/>
      <c r="E7" s="565"/>
      <c r="F7" s="89" t="s">
        <v>111</v>
      </c>
      <c r="G7" s="89" t="s">
        <v>112</v>
      </c>
      <c r="H7" s="89" t="s">
        <v>111</v>
      </c>
      <c r="I7" s="89" t="s">
        <v>112</v>
      </c>
      <c r="J7" s="89" t="s">
        <v>111</v>
      </c>
      <c r="K7" s="275" t="s">
        <v>112</v>
      </c>
      <c r="L7" s="276" t="s">
        <v>111</v>
      </c>
      <c r="M7" s="276" t="s">
        <v>112</v>
      </c>
      <c r="N7" s="78" t="s">
        <v>111</v>
      </c>
      <c r="O7" s="173" t="s">
        <v>112</v>
      </c>
      <c r="P7" s="39"/>
      <c r="Q7" s="2"/>
      <c r="R7" s="2"/>
      <c r="S7" s="2"/>
      <c r="T7" s="2"/>
      <c r="U7" s="2"/>
      <c r="V7" s="2"/>
      <c r="W7" s="2"/>
      <c r="X7" s="2"/>
    </row>
    <row r="8" spans="1:24" s="52" customFormat="1" ht="14.25" customHeight="1">
      <c r="A8" s="2"/>
      <c r="B8" s="2"/>
      <c r="C8" s="26">
        <v>1</v>
      </c>
      <c r="D8" s="27" t="s">
        <v>113</v>
      </c>
      <c r="E8" s="80">
        <f>E9+E30+E37+E51</f>
        <v>11851150744.391111</v>
      </c>
      <c r="F8" s="80">
        <f>F9+F30+F37+F51</f>
        <v>73513416</v>
      </c>
      <c r="G8" s="80">
        <f>G9+G30+G37+G51</f>
        <v>603468253</v>
      </c>
      <c r="H8" s="80">
        <f t="shared" ref="H8:M8" si="0">H9+H30+H37+H51</f>
        <v>86302813</v>
      </c>
      <c r="I8" s="80">
        <f t="shared" si="0"/>
        <v>628351740</v>
      </c>
      <c r="J8" s="80">
        <f t="shared" si="0"/>
        <v>117755414</v>
      </c>
      <c r="K8" s="80">
        <f t="shared" si="0"/>
        <v>695878271</v>
      </c>
      <c r="L8" s="80">
        <f t="shared" si="0"/>
        <v>167969745.80000001</v>
      </c>
      <c r="M8" s="80">
        <f t="shared" si="0"/>
        <v>946902373.91500008</v>
      </c>
      <c r="N8" s="80">
        <f>N9+N30+N37+N51</f>
        <v>9422091495.2761116</v>
      </c>
      <c r="O8" s="174">
        <f>+O9+O30+O37+O51</f>
        <v>0</v>
      </c>
      <c r="P8" s="39"/>
      <c r="Q8" s="2"/>
      <c r="R8" s="2"/>
      <c r="S8" s="2"/>
      <c r="T8" s="2"/>
      <c r="U8" s="2"/>
      <c r="V8" s="2"/>
      <c r="W8" s="2"/>
      <c r="X8" s="2"/>
    </row>
    <row r="9" spans="1:24" s="34" customFormat="1" ht="14.25" customHeight="1">
      <c r="C9" s="24">
        <v>11</v>
      </c>
      <c r="D9" s="25" t="s">
        <v>6</v>
      </c>
      <c r="E9" s="80">
        <f>+E10+E12</f>
        <v>2661935847.1800003</v>
      </c>
      <c r="F9" s="80">
        <f t="shared" ref="F9:G9" si="1">+F10+F12</f>
        <v>35954153</v>
      </c>
      <c r="G9" s="80">
        <f t="shared" si="1"/>
        <v>567378225</v>
      </c>
      <c r="H9" s="80">
        <f t="shared" ref="H9:M9" si="2">+H10+H12</f>
        <v>82166411</v>
      </c>
      <c r="I9" s="80">
        <f t="shared" si="2"/>
        <v>624215338</v>
      </c>
      <c r="J9" s="80">
        <f t="shared" si="2"/>
        <v>95011207</v>
      </c>
      <c r="K9" s="80">
        <f t="shared" si="2"/>
        <v>695470064</v>
      </c>
      <c r="L9" s="80">
        <f t="shared" si="2"/>
        <v>83984872.900000006</v>
      </c>
      <c r="M9" s="80">
        <f t="shared" si="2"/>
        <v>860747337.0150001</v>
      </c>
      <c r="N9" s="80">
        <f>+N10+N12</f>
        <v>211241527.06500021</v>
      </c>
      <c r="O9" s="175">
        <f>+O10+O12</f>
        <v>0</v>
      </c>
      <c r="P9" s="374"/>
    </row>
    <row r="10" spans="1:24" s="35" customFormat="1" ht="14.25" customHeight="1">
      <c r="C10" s="26">
        <v>1105</v>
      </c>
      <c r="D10" s="27" t="s">
        <v>7</v>
      </c>
      <c r="E10" s="80">
        <f t="shared" ref="E10:O10" si="3">+E11</f>
        <v>0</v>
      </c>
      <c r="F10" s="80">
        <f t="shared" si="3"/>
        <v>0</v>
      </c>
      <c r="G10" s="80">
        <f t="shared" si="3"/>
        <v>0</v>
      </c>
      <c r="H10" s="80">
        <f t="shared" si="3"/>
        <v>0</v>
      </c>
      <c r="I10" s="80">
        <f t="shared" si="3"/>
        <v>0</v>
      </c>
      <c r="J10" s="80">
        <f t="shared" si="3"/>
        <v>0</v>
      </c>
      <c r="K10" s="80">
        <f t="shared" si="3"/>
        <v>0</v>
      </c>
      <c r="L10" s="266">
        <f t="shared" si="3"/>
        <v>0</v>
      </c>
      <c r="M10" s="266">
        <f t="shared" si="3"/>
        <v>0</v>
      </c>
      <c r="N10" s="80">
        <f t="shared" si="3"/>
        <v>0</v>
      </c>
      <c r="O10" s="175">
        <f t="shared" si="3"/>
        <v>0</v>
      </c>
      <c r="P10" s="375"/>
    </row>
    <row r="11" spans="1:24" ht="14.25" customHeight="1">
      <c r="C11" s="28">
        <v>110501</v>
      </c>
      <c r="D11" s="21" t="s">
        <v>9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266">
        <v>0</v>
      </c>
      <c r="M11" s="266">
        <v>0</v>
      </c>
      <c r="N11" s="80">
        <v>0</v>
      </c>
      <c r="O11" s="175">
        <v>0</v>
      </c>
      <c r="P11" s="39"/>
    </row>
    <row r="12" spans="1:24" s="35" customFormat="1" ht="14.25" customHeight="1">
      <c r="C12" s="26">
        <v>1110</v>
      </c>
      <c r="D12" s="27" t="s">
        <v>11</v>
      </c>
      <c r="E12" s="80">
        <f t="shared" ref="E12:L12" si="4">+SUM(E13:E29)</f>
        <v>2661935847.1800003</v>
      </c>
      <c r="F12" s="80">
        <f>+SUM(F13:F29)</f>
        <v>35954153</v>
      </c>
      <c r="G12" s="80">
        <f>+SUM(G13:G29)</f>
        <v>567378225</v>
      </c>
      <c r="H12" s="80">
        <f t="shared" si="4"/>
        <v>82166411</v>
      </c>
      <c r="I12" s="80">
        <f t="shared" si="4"/>
        <v>624215338</v>
      </c>
      <c r="J12" s="80">
        <f t="shared" si="4"/>
        <v>95011207</v>
      </c>
      <c r="K12" s="80">
        <f>+SUM(K13:K29)</f>
        <v>695470064</v>
      </c>
      <c r="L12" s="80">
        <f t="shared" si="4"/>
        <v>83984872.900000006</v>
      </c>
      <c r="M12" s="80">
        <f>+SUM(M13:M29)</f>
        <v>860747337.0150001</v>
      </c>
      <c r="N12" s="80">
        <f>+SUM(N13:N29)</f>
        <v>211241527.06500021</v>
      </c>
      <c r="O12" s="175">
        <f>+SUM(O13:O25)</f>
        <v>0</v>
      </c>
      <c r="P12" s="375"/>
    </row>
    <row r="13" spans="1:24" s="133" customFormat="1" ht="14.25" customHeight="1">
      <c r="C13" s="28">
        <v>11100501</v>
      </c>
      <c r="D13" s="21" t="s">
        <v>295</v>
      </c>
      <c r="E13" s="79">
        <v>754230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148225</v>
      </c>
      <c r="N13" s="79">
        <f t="shared" ref="N13:N29" si="5">E13+F13-G13+H13-I13+J13-K13+L13-M13</f>
        <v>606005</v>
      </c>
      <c r="O13" s="176">
        <v>0</v>
      </c>
      <c r="P13" s="376"/>
    </row>
    <row r="14" spans="1:24" s="133" customFormat="1" ht="14.25" customHeight="1">
      <c r="C14" s="28">
        <v>11100502</v>
      </c>
      <c r="D14" s="21" t="s">
        <v>290</v>
      </c>
      <c r="E14" s="79">
        <v>97790525</v>
      </c>
      <c r="F14" s="79">
        <v>0</v>
      </c>
      <c r="G14" s="79">
        <v>0</v>
      </c>
      <c r="H14" s="79">
        <v>0</v>
      </c>
      <c r="I14" s="79">
        <v>94000000</v>
      </c>
      <c r="J14" s="79">
        <v>94000000</v>
      </c>
      <c r="K14" s="79">
        <v>0</v>
      </c>
      <c r="L14" s="79">
        <v>0</v>
      </c>
      <c r="M14" s="79">
        <v>326000</v>
      </c>
      <c r="N14" s="79">
        <f t="shared" si="5"/>
        <v>97464525</v>
      </c>
      <c r="O14" s="176" t="s">
        <v>288</v>
      </c>
      <c r="P14" s="376"/>
    </row>
    <row r="15" spans="1:24" s="133" customFormat="1" ht="14.25" customHeight="1">
      <c r="C15" s="28">
        <v>11100503</v>
      </c>
      <c r="D15" s="139" t="s">
        <v>294</v>
      </c>
      <c r="E15" s="79">
        <v>3143121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295469</v>
      </c>
      <c r="N15" s="79">
        <f t="shared" si="5"/>
        <v>2847652</v>
      </c>
      <c r="O15" s="176">
        <v>0</v>
      </c>
      <c r="P15" s="376"/>
    </row>
    <row r="16" spans="1:24" s="133" customFormat="1" ht="14.25" customHeight="1">
      <c r="C16" s="28">
        <v>11100504</v>
      </c>
      <c r="D16" s="139" t="s">
        <v>296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f t="shared" si="5"/>
        <v>0</v>
      </c>
      <c r="O16" s="176">
        <v>0</v>
      </c>
      <c r="P16" s="376"/>
    </row>
    <row r="17" spans="3:16" s="133" customFormat="1" ht="14.25" customHeight="1">
      <c r="C17" s="28">
        <v>11100505</v>
      </c>
      <c r="D17" s="139" t="s">
        <v>297</v>
      </c>
      <c r="E17" s="79">
        <v>3142309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f t="shared" si="5"/>
        <v>3142309</v>
      </c>
      <c r="O17" s="176">
        <v>0</v>
      </c>
      <c r="P17" s="376"/>
    </row>
    <row r="18" spans="3:16" s="133" customFormat="1" ht="14.25" customHeight="1">
      <c r="C18" s="28">
        <v>11100506</v>
      </c>
      <c r="D18" s="139" t="s">
        <v>298</v>
      </c>
      <c r="E18" s="79">
        <v>4122510</v>
      </c>
      <c r="F18" s="79">
        <v>100</v>
      </c>
      <c r="G18" s="79">
        <v>124890</v>
      </c>
      <c r="H18" s="79">
        <v>95</v>
      </c>
      <c r="I18" s="79">
        <v>744610</v>
      </c>
      <c r="J18" s="79">
        <f>603000+408207</f>
        <v>1011207</v>
      </c>
      <c r="K18" s="79">
        <v>141610</v>
      </c>
      <c r="L18" s="79">
        <f>83984654+218.9</f>
        <v>83984872.900000006</v>
      </c>
      <c r="M18" s="79">
        <v>83984654</v>
      </c>
      <c r="N18" s="79">
        <f t="shared" si="5"/>
        <v>4123020.900000006</v>
      </c>
      <c r="O18" s="176">
        <v>0</v>
      </c>
      <c r="P18" s="376"/>
    </row>
    <row r="19" spans="3:16" s="133" customFormat="1" ht="14.25" customHeight="1">
      <c r="C19" s="280">
        <v>11100507</v>
      </c>
      <c r="D19" s="139" t="s">
        <v>148</v>
      </c>
      <c r="E19" s="79">
        <v>70661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70661</v>
      </c>
      <c r="N19" s="79">
        <f t="shared" si="5"/>
        <v>0</v>
      </c>
      <c r="O19" s="176">
        <v>0</v>
      </c>
      <c r="P19" s="376"/>
    </row>
    <row r="20" spans="3:16" ht="14.25" customHeight="1">
      <c r="C20" s="28">
        <v>11100508</v>
      </c>
      <c r="D20" s="139" t="s">
        <v>301</v>
      </c>
      <c r="E20" s="79">
        <v>1191225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1191225</v>
      </c>
      <c r="N20" s="79">
        <f t="shared" si="5"/>
        <v>0</v>
      </c>
      <c r="O20" s="176">
        <v>0</v>
      </c>
      <c r="P20" s="39"/>
    </row>
    <row r="21" spans="3:16" ht="14.25" customHeight="1">
      <c r="C21" s="28">
        <v>11100509</v>
      </c>
      <c r="D21" s="139" t="s">
        <v>299</v>
      </c>
      <c r="E21" s="79">
        <v>53406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53406</v>
      </c>
      <c r="N21" s="79">
        <f t="shared" si="5"/>
        <v>0</v>
      </c>
      <c r="O21" s="176">
        <v>0</v>
      </c>
      <c r="P21" s="39"/>
    </row>
    <row r="22" spans="3:16" s="133" customFormat="1" ht="14.25" customHeight="1">
      <c r="C22" s="280">
        <v>11100510</v>
      </c>
      <c r="D22" s="139" t="s">
        <v>146</v>
      </c>
      <c r="E22" s="79">
        <v>54279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54279</v>
      </c>
      <c r="N22" s="79">
        <f t="shared" si="5"/>
        <v>0</v>
      </c>
      <c r="O22" s="176">
        <v>0</v>
      </c>
      <c r="P22" s="376"/>
    </row>
    <row r="23" spans="3:16" s="133" customFormat="1" ht="14.25" customHeight="1">
      <c r="C23" s="280">
        <v>11100511</v>
      </c>
      <c r="D23" s="139" t="s">
        <v>300</v>
      </c>
      <c r="E23" s="79">
        <v>5233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5233</v>
      </c>
      <c r="N23" s="79">
        <f t="shared" si="5"/>
        <v>0</v>
      </c>
      <c r="O23" s="176"/>
      <c r="P23" s="376"/>
    </row>
    <row r="24" spans="3:16" s="133" customFormat="1" ht="14.25" customHeight="1">
      <c r="C24" s="280">
        <v>11100512</v>
      </c>
      <c r="D24" s="139" t="s">
        <v>171</v>
      </c>
      <c r="E24" s="79">
        <v>21444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21444</v>
      </c>
      <c r="N24" s="79">
        <f t="shared" si="5"/>
        <v>0</v>
      </c>
      <c r="O24" s="176"/>
      <c r="P24" s="376"/>
    </row>
    <row r="25" spans="3:16" s="133" customFormat="1" ht="14.25" customHeight="1">
      <c r="C25" s="280">
        <v>11100513</v>
      </c>
      <c r="D25" s="139" t="s">
        <v>172</v>
      </c>
      <c r="E25" s="79">
        <v>18972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18972</v>
      </c>
      <c r="N25" s="79">
        <f t="shared" si="5"/>
        <v>0</v>
      </c>
      <c r="O25" s="176"/>
      <c r="P25" s="376"/>
    </row>
    <row r="26" spans="3:16" s="133" customFormat="1" ht="14.25" customHeight="1">
      <c r="C26" s="28">
        <v>11100514</v>
      </c>
      <c r="D26" s="139" t="s">
        <v>291</v>
      </c>
      <c r="E26" s="79">
        <v>13096478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13096478</v>
      </c>
      <c r="N26" s="79">
        <f t="shared" si="5"/>
        <v>0</v>
      </c>
      <c r="O26" s="176"/>
      <c r="P26" s="376"/>
    </row>
    <row r="27" spans="3:16" s="133" customFormat="1" ht="14.25" customHeight="1">
      <c r="C27" s="28">
        <v>11100515</v>
      </c>
      <c r="D27" s="139" t="s">
        <v>292</v>
      </c>
      <c r="E27" s="79">
        <v>1706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1706</v>
      </c>
      <c r="N27" s="79">
        <f t="shared" si="5"/>
        <v>0</v>
      </c>
      <c r="O27" s="176"/>
      <c r="P27" s="376"/>
    </row>
    <row r="28" spans="3:16" s="133" customFormat="1" ht="14.25" customHeight="1">
      <c r="C28" s="28">
        <v>11100516</v>
      </c>
      <c r="D28" s="139" t="s">
        <v>293</v>
      </c>
      <c r="E28" s="79">
        <v>280896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127">
        <v>280896</v>
      </c>
      <c r="N28" s="79">
        <f t="shared" si="5"/>
        <v>0</v>
      </c>
      <c r="O28" s="176"/>
      <c r="P28" s="376"/>
    </row>
    <row r="29" spans="3:16" s="133" customFormat="1" ht="14.25" customHeight="1">
      <c r="C29" s="28">
        <v>11100517</v>
      </c>
      <c r="D29" s="139" t="s">
        <v>289</v>
      </c>
      <c r="E29" s="79">
        <v>2538188852.1800003</v>
      </c>
      <c r="F29" s="79">
        <f>35954053</f>
        <v>35954053</v>
      </c>
      <c r="G29" s="79">
        <v>567253335</v>
      </c>
      <c r="H29" s="79">
        <f>78030009+4136307</f>
        <v>82166316</v>
      </c>
      <c r="I29" s="79">
        <f>529470728</f>
        <v>529470728</v>
      </c>
      <c r="J29" s="79">
        <v>0</v>
      </c>
      <c r="K29" s="79">
        <f>695328455-1</f>
        <v>695328454</v>
      </c>
      <c r="L29" s="79">
        <v>0</v>
      </c>
      <c r="M29" s="79">
        <f>750199057.445-1+6863325.57+4136307</f>
        <v>761198689.0150001</v>
      </c>
      <c r="N29" s="79">
        <f t="shared" si="5"/>
        <v>103058015.1650002</v>
      </c>
      <c r="O29" s="176">
        <v>0</v>
      </c>
      <c r="P29" s="376"/>
    </row>
    <row r="30" spans="3:16" s="34" customFormat="1" ht="14.25" customHeight="1">
      <c r="C30" s="24">
        <v>13</v>
      </c>
      <c r="D30" s="25" t="s">
        <v>18</v>
      </c>
      <c r="E30" s="80">
        <f>+E31+E35</f>
        <v>6917650505</v>
      </c>
      <c r="F30" s="80">
        <f t="shared" ref="F30:N30" si="6">+F31+F35</f>
        <v>35954153</v>
      </c>
      <c r="G30" s="80">
        <f t="shared" si="6"/>
        <v>35954153</v>
      </c>
      <c r="H30" s="80">
        <f t="shared" si="6"/>
        <v>4136402</v>
      </c>
      <c r="I30" s="80">
        <f t="shared" si="6"/>
        <v>4136402</v>
      </c>
      <c r="J30" s="80">
        <f t="shared" ref="J30" si="7">+J31+J35</f>
        <v>408207</v>
      </c>
      <c r="K30" s="80">
        <f t="shared" si="6"/>
        <v>408207</v>
      </c>
      <c r="L30" s="80">
        <f t="shared" si="6"/>
        <v>83984872.900000006</v>
      </c>
      <c r="M30" s="80">
        <f t="shared" si="6"/>
        <v>83984872.900000006</v>
      </c>
      <c r="N30" s="80">
        <f t="shared" si="6"/>
        <v>6917650505</v>
      </c>
      <c r="O30" s="175">
        <f t="shared" ref="O30" si="8">O31</f>
        <v>0</v>
      </c>
      <c r="P30" s="374"/>
    </row>
    <row r="31" spans="3:16" s="35" customFormat="1" ht="16.5" customHeight="1">
      <c r="C31" s="26">
        <v>1384</v>
      </c>
      <c r="D31" s="27" t="s">
        <v>201</v>
      </c>
      <c r="E31" s="80">
        <f>SUM(E32:E34)</f>
        <v>6917650505</v>
      </c>
      <c r="F31" s="80">
        <f t="shared" ref="F31:M31" si="9">SUM(F32:F34)</f>
        <v>35954153</v>
      </c>
      <c r="G31" s="80">
        <f t="shared" si="9"/>
        <v>35954153</v>
      </c>
      <c r="H31" s="80">
        <f t="shared" si="9"/>
        <v>4136402</v>
      </c>
      <c r="I31" s="80">
        <f t="shared" si="9"/>
        <v>4136402</v>
      </c>
      <c r="J31" s="80">
        <f t="shared" si="9"/>
        <v>408207</v>
      </c>
      <c r="K31" s="80">
        <f t="shared" si="9"/>
        <v>408207</v>
      </c>
      <c r="L31" s="80">
        <f t="shared" si="9"/>
        <v>83984872.900000006</v>
      </c>
      <c r="M31" s="80">
        <f t="shared" si="9"/>
        <v>83984872.900000006</v>
      </c>
      <c r="N31" s="80">
        <f t="shared" ref="N31" si="10">SUM(N32:N34)</f>
        <v>6917650505</v>
      </c>
      <c r="O31" s="175">
        <f t="shared" ref="O31" si="11">SUM(O32:O34)</f>
        <v>0</v>
      </c>
      <c r="P31" s="375"/>
    </row>
    <row r="32" spans="3:16" s="35" customFormat="1" ht="16.5" customHeight="1">
      <c r="C32" s="28">
        <v>138405</v>
      </c>
      <c r="D32" s="21" t="s">
        <v>286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342950</v>
      </c>
      <c r="K32" s="84">
        <v>342950</v>
      </c>
      <c r="L32" s="84">
        <v>0</v>
      </c>
      <c r="M32" s="84">
        <v>0</v>
      </c>
      <c r="N32" s="82">
        <f>E32+F32+H32+J32+L32-G32-I32-K32-M32</f>
        <v>0</v>
      </c>
      <c r="O32" s="177"/>
      <c r="P32" s="375"/>
    </row>
    <row r="33" spans="3:16" s="35" customFormat="1" ht="16.5" customHeight="1">
      <c r="C33" s="28">
        <v>138436</v>
      </c>
      <c r="D33" s="21" t="s">
        <v>244</v>
      </c>
      <c r="E33" s="84"/>
      <c r="F33" s="79">
        <v>100</v>
      </c>
      <c r="G33" s="79">
        <v>100</v>
      </c>
      <c r="H33" s="79">
        <v>95</v>
      </c>
      <c r="I33" s="79">
        <v>95</v>
      </c>
      <c r="J33" s="79">
        <v>96</v>
      </c>
      <c r="K33" s="79">
        <v>96</v>
      </c>
      <c r="L33" s="79">
        <v>218.89999999999998</v>
      </c>
      <c r="M33" s="79">
        <v>218.89999999999998</v>
      </c>
      <c r="N33" s="82">
        <f>E33+F33+H33+J33+L33-G33-I33-K33-M33</f>
        <v>0</v>
      </c>
      <c r="O33" s="177"/>
      <c r="P33" s="375"/>
    </row>
    <row r="34" spans="3:16" s="133" customFormat="1" ht="14.25" customHeight="1">
      <c r="C34" s="19">
        <v>138490</v>
      </c>
      <c r="D34" s="23" t="s">
        <v>27</v>
      </c>
      <c r="E34" s="84">
        <v>6917650505</v>
      </c>
      <c r="F34" s="79">
        <v>35954053</v>
      </c>
      <c r="G34" s="79">
        <v>35954053</v>
      </c>
      <c r="H34" s="79">
        <v>4136307</v>
      </c>
      <c r="I34" s="79">
        <v>4136307</v>
      </c>
      <c r="J34" s="79">
        <v>65161</v>
      </c>
      <c r="K34" s="79">
        <v>65161</v>
      </c>
      <c r="L34" s="79">
        <v>83984654</v>
      </c>
      <c r="M34" s="79">
        <v>83984654</v>
      </c>
      <c r="N34" s="82">
        <f>E34+F34+H34+J34+L34-G34-I34-K34-M34</f>
        <v>6917650505</v>
      </c>
      <c r="O34" s="177">
        <v>0</v>
      </c>
      <c r="P34" s="376"/>
    </row>
    <row r="35" spans="3:16" s="35" customFormat="1" ht="14.25" customHeight="1">
      <c r="C35" s="26">
        <v>1385</v>
      </c>
      <c r="D35" s="27" t="s">
        <v>114</v>
      </c>
      <c r="E35" s="80">
        <f>+E36</f>
        <v>0</v>
      </c>
      <c r="F35" s="81">
        <f>+F36</f>
        <v>0</v>
      </c>
      <c r="G35" s="81">
        <f t="shared" ref="G35:O35" si="12">+G36</f>
        <v>0</v>
      </c>
      <c r="H35" s="81">
        <f t="shared" si="12"/>
        <v>0</v>
      </c>
      <c r="I35" s="81">
        <f t="shared" si="12"/>
        <v>0</v>
      </c>
      <c r="J35" s="82">
        <f>E35+F35+H35-G35-I35</f>
        <v>0</v>
      </c>
      <c r="K35" s="81">
        <f t="shared" si="12"/>
        <v>0</v>
      </c>
      <c r="L35" s="267">
        <f>G35+H35+J35-I35-K35</f>
        <v>0</v>
      </c>
      <c r="M35" s="268">
        <f t="shared" si="12"/>
        <v>0</v>
      </c>
      <c r="N35" s="82">
        <f>E35+F35+H35+J35-G35-I35-K35</f>
        <v>0</v>
      </c>
      <c r="O35" s="174">
        <f t="shared" si="12"/>
        <v>0</v>
      </c>
      <c r="P35" s="375"/>
    </row>
    <row r="36" spans="3:16" ht="14.25" customHeight="1">
      <c r="C36" s="28">
        <v>138590</v>
      </c>
      <c r="D36" s="21" t="s">
        <v>115</v>
      </c>
      <c r="E36" s="84">
        <v>0</v>
      </c>
      <c r="F36" s="82">
        <v>0</v>
      </c>
      <c r="G36" s="82">
        <v>0</v>
      </c>
      <c r="H36" s="82">
        <v>0</v>
      </c>
      <c r="I36" s="82">
        <v>0</v>
      </c>
      <c r="J36" s="82">
        <f>E36+F36+H36-G36-I36</f>
        <v>0</v>
      </c>
      <c r="K36" s="82">
        <v>0</v>
      </c>
      <c r="L36" s="267">
        <f>G36+H36+J36-I36-K36</f>
        <v>0</v>
      </c>
      <c r="M36" s="267">
        <v>0</v>
      </c>
      <c r="N36" s="82">
        <f>E36+F36+H36+J36-G36-I36-K36</f>
        <v>0</v>
      </c>
      <c r="O36" s="177">
        <v>0</v>
      </c>
      <c r="P36" s="39"/>
    </row>
    <row r="37" spans="3:16" s="34" customFormat="1" ht="16.5" customHeight="1">
      <c r="C37" s="24">
        <v>16</v>
      </c>
      <c r="D37" s="25" t="s">
        <v>30</v>
      </c>
      <c r="E37" s="80">
        <f>+E38+E41+E44+E46</f>
        <v>143378373.65000001</v>
      </c>
      <c r="F37" s="80">
        <f>+F38+F41+F44-F46</f>
        <v>0</v>
      </c>
      <c r="G37" s="80">
        <f>+G38+G41+G44-G46</f>
        <v>0</v>
      </c>
      <c r="H37" s="80">
        <f>+H38+H41+H44-H46</f>
        <v>0</v>
      </c>
      <c r="I37" s="80">
        <f>+I46</f>
        <v>0</v>
      </c>
      <c r="J37" s="80">
        <f>+J38+J41+J44-J46</f>
        <v>0</v>
      </c>
      <c r="K37" s="80">
        <f>+K46</f>
        <v>0</v>
      </c>
      <c r="L37" s="266">
        <f>+L46</f>
        <v>0</v>
      </c>
      <c r="M37" s="266">
        <f>M38+M41+M44+M46</f>
        <v>0</v>
      </c>
      <c r="N37" s="80">
        <f>N38+N41+N44+N46</f>
        <v>143378373.65000001</v>
      </c>
      <c r="O37" s="175">
        <f>+O46</f>
        <v>0</v>
      </c>
      <c r="P37" s="374"/>
    </row>
    <row r="38" spans="3:16" s="35" customFormat="1" ht="14.25" customHeight="1">
      <c r="C38" s="26">
        <v>1665</v>
      </c>
      <c r="D38" s="27" t="s">
        <v>34</v>
      </c>
      <c r="E38" s="85">
        <f>+E39+E40</f>
        <v>183715759</v>
      </c>
      <c r="F38" s="81">
        <f t="shared" ref="F38:M38" si="13">SUM(F39:F40)</f>
        <v>0</v>
      </c>
      <c r="G38" s="81">
        <f t="shared" si="13"/>
        <v>0</v>
      </c>
      <c r="H38" s="81">
        <f t="shared" si="13"/>
        <v>0</v>
      </c>
      <c r="I38" s="81">
        <f t="shared" si="13"/>
        <v>0</v>
      </c>
      <c r="J38" s="81">
        <f t="shared" ref="J38" si="14">SUM(J39:J40)</f>
        <v>0</v>
      </c>
      <c r="K38" s="81">
        <f t="shared" si="13"/>
        <v>0</v>
      </c>
      <c r="L38" s="268">
        <f t="shared" si="13"/>
        <v>0</v>
      </c>
      <c r="M38" s="268">
        <f t="shared" si="13"/>
        <v>0</v>
      </c>
      <c r="N38" s="81">
        <f>N39+N40</f>
        <v>183715759</v>
      </c>
      <c r="O38" s="174">
        <f>SUM(O39:O40)</f>
        <v>0</v>
      </c>
      <c r="P38" s="375"/>
    </row>
    <row r="39" spans="3:16" s="134" customFormat="1" ht="14.25" customHeight="1">
      <c r="C39" s="28">
        <v>166501</v>
      </c>
      <c r="D39" s="21" t="s">
        <v>35</v>
      </c>
      <c r="E39" s="84">
        <v>132116759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82">
        <f>E39+F39+H39+J39+L39-G39-I39-K39-M39</f>
        <v>132116759</v>
      </c>
      <c r="O39" s="178">
        <v>0</v>
      </c>
      <c r="P39" s="377"/>
    </row>
    <row r="40" spans="3:16" s="133" customFormat="1" ht="14.25" customHeight="1">
      <c r="C40" s="28">
        <v>166502</v>
      </c>
      <c r="D40" s="21" t="s">
        <v>36</v>
      </c>
      <c r="E40" s="79">
        <v>51599000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82">
        <f>E40+F40+H40+J40+L40-G40-I40-K40-M40</f>
        <v>51599000</v>
      </c>
      <c r="O40" s="178">
        <v>0</v>
      </c>
      <c r="P40" s="376"/>
    </row>
    <row r="41" spans="3:16" s="35" customFormat="1" ht="25.5" customHeight="1">
      <c r="C41" s="26">
        <v>1670</v>
      </c>
      <c r="D41" s="77" t="s">
        <v>37</v>
      </c>
      <c r="E41" s="80">
        <f>+E42+E43</f>
        <v>106929487</v>
      </c>
      <c r="F41" s="80">
        <f t="shared" ref="F41:M41" si="15">+F42+F43</f>
        <v>0</v>
      </c>
      <c r="G41" s="80">
        <f t="shared" si="15"/>
        <v>0</v>
      </c>
      <c r="H41" s="80">
        <f t="shared" si="15"/>
        <v>0</v>
      </c>
      <c r="I41" s="80">
        <f t="shared" si="15"/>
        <v>0</v>
      </c>
      <c r="J41" s="80">
        <f t="shared" si="15"/>
        <v>0</v>
      </c>
      <c r="K41" s="80">
        <f t="shared" si="15"/>
        <v>0</v>
      </c>
      <c r="L41" s="80">
        <f t="shared" si="15"/>
        <v>0</v>
      </c>
      <c r="M41" s="80">
        <f t="shared" si="15"/>
        <v>0</v>
      </c>
      <c r="N41" s="81">
        <f>+N42+N43</f>
        <v>106929487</v>
      </c>
      <c r="O41" s="174">
        <f t="shared" ref="O41" si="16">+O43</f>
        <v>0</v>
      </c>
      <c r="P41" s="375"/>
    </row>
    <row r="42" spans="3:16" ht="25.5" customHeight="1">
      <c r="C42" s="28">
        <v>167001</v>
      </c>
      <c r="D42" s="139" t="s">
        <v>254</v>
      </c>
      <c r="E42" s="84">
        <v>13080002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82">
        <f>E42+F42+H42+J42+L42-G42-I42-K42-M42</f>
        <v>13080002</v>
      </c>
      <c r="O42" s="177"/>
      <c r="P42" s="39"/>
    </row>
    <row r="43" spans="3:16" s="133" customFormat="1" ht="14.25" customHeight="1">
      <c r="C43" s="28">
        <v>167002</v>
      </c>
      <c r="D43" s="21" t="s">
        <v>202</v>
      </c>
      <c r="E43" s="79">
        <v>93849485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82">
        <f>E43+F43+H43+J43+L43-G43-I43-K43-M43</f>
        <v>93849485</v>
      </c>
      <c r="O43" s="178">
        <v>0</v>
      </c>
      <c r="P43" s="376"/>
    </row>
    <row r="44" spans="3:16" s="35" customFormat="1" ht="24" customHeight="1">
      <c r="C44" s="26">
        <v>1675</v>
      </c>
      <c r="D44" s="77" t="s">
        <v>38</v>
      </c>
      <c r="E44" s="80">
        <f>+E45</f>
        <v>78140000</v>
      </c>
      <c r="F44" s="80">
        <f t="shared" ref="F44:O44" si="17">+F45</f>
        <v>0</v>
      </c>
      <c r="G44" s="80">
        <f t="shared" si="17"/>
        <v>0</v>
      </c>
      <c r="H44" s="80">
        <f t="shared" si="17"/>
        <v>0</v>
      </c>
      <c r="I44" s="80">
        <f t="shared" si="17"/>
        <v>0</v>
      </c>
      <c r="J44" s="80">
        <f t="shared" si="17"/>
        <v>0</v>
      </c>
      <c r="K44" s="80">
        <f t="shared" si="17"/>
        <v>0</v>
      </c>
      <c r="L44" s="266">
        <f t="shared" si="17"/>
        <v>0</v>
      </c>
      <c r="M44" s="266">
        <f t="shared" si="17"/>
        <v>0</v>
      </c>
      <c r="N44" s="81">
        <f>N45</f>
        <v>78140000</v>
      </c>
      <c r="O44" s="175">
        <f t="shared" si="17"/>
        <v>0</v>
      </c>
      <c r="P44" s="375"/>
    </row>
    <row r="45" spans="3:16" s="133" customFormat="1" ht="14.25" customHeight="1">
      <c r="C45" s="28">
        <v>167502</v>
      </c>
      <c r="D45" s="21" t="s">
        <v>39</v>
      </c>
      <c r="E45" s="84">
        <v>78140000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267">
        <v>0</v>
      </c>
      <c r="M45" s="267">
        <v>0</v>
      </c>
      <c r="N45" s="82">
        <f>E45+F45+H45+J45+L45-G45-I45-K45-M45</f>
        <v>78140000</v>
      </c>
      <c r="O45" s="177">
        <v>0</v>
      </c>
      <c r="P45" s="376"/>
    </row>
    <row r="46" spans="3:16" s="35" customFormat="1" ht="14.25" customHeight="1">
      <c r="C46" s="26">
        <v>1685</v>
      </c>
      <c r="D46" s="27" t="s">
        <v>41</v>
      </c>
      <c r="E46" s="85">
        <f>+SUM(E47:E50)</f>
        <v>-225406872.34999999</v>
      </c>
      <c r="F46" s="86">
        <f t="shared" ref="F46:O46" si="18">SUM(F47:F50)</f>
        <v>0</v>
      </c>
      <c r="G46" s="86">
        <f t="shared" si="18"/>
        <v>0</v>
      </c>
      <c r="H46" s="86">
        <f t="shared" si="18"/>
        <v>0</v>
      </c>
      <c r="I46" s="86">
        <f>SUM(I47:I50)</f>
        <v>0</v>
      </c>
      <c r="J46" s="86">
        <f t="shared" si="18"/>
        <v>0</v>
      </c>
      <c r="K46" s="86">
        <f t="shared" si="18"/>
        <v>0</v>
      </c>
      <c r="L46" s="270">
        <f t="shared" si="18"/>
        <v>0</v>
      </c>
      <c r="M46" s="270">
        <f t="shared" si="18"/>
        <v>0</v>
      </c>
      <c r="N46" s="86">
        <f t="shared" si="18"/>
        <v>-225406872.34999999</v>
      </c>
      <c r="O46" s="179">
        <f t="shared" si="18"/>
        <v>0</v>
      </c>
      <c r="P46" s="375"/>
    </row>
    <row r="47" spans="3:16" s="133" customFormat="1" ht="14.25" customHeight="1">
      <c r="C47" s="28">
        <v>168504</v>
      </c>
      <c r="D47" s="21" t="s">
        <v>36</v>
      </c>
      <c r="E47" s="166">
        <v>-36119300</v>
      </c>
      <c r="F47" s="164">
        <v>0</v>
      </c>
      <c r="G47" s="82">
        <v>0</v>
      </c>
      <c r="H47" s="82">
        <v>0</v>
      </c>
      <c r="I47" s="82">
        <v>0</v>
      </c>
      <c r="J47" s="82">
        <v>0</v>
      </c>
      <c r="K47" s="82"/>
      <c r="L47" s="267">
        <v>0</v>
      </c>
      <c r="M47" s="267">
        <v>0</v>
      </c>
      <c r="N47" s="82">
        <f>E47+F47-G47+H47-I47+J47-K47+L47-M47</f>
        <v>-36119300</v>
      </c>
      <c r="O47" s="177">
        <v>0</v>
      </c>
      <c r="P47" s="376"/>
    </row>
    <row r="48" spans="3:16" s="133" customFormat="1" ht="14.25" customHeight="1">
      <c r="C48" s="28">
        <v>168506</v>
      </c>
      <c r="D48" s="21" t="s">
        <v>34</v>
      </c>
      <c r="E48" s="166">
        <v>-83665448.75</v>
      </c>
      <c r="F48" s="164">
        <v>0</v>
      </c>
      <c r="G48" s="82">
        <v>0</v>
      </c>
      <c r="H48" s="82">
        <v>0</v>
      </c>
      <c r="I48" s="82">
        <v>0</v>
      </c>
      <c r="J48" s="82">
        <v>0</v>
      </c>
      <c r="K48" s="82"/>
      <c r="L48" s="267">
        <v>0</v>
      </c>
      <c r="M48" s="267">
        <v>0</v>
      </c>
      <c r="N48" s="82">
        <f t="shared" ref="N48:N50" si="19">E48+F48-G48+H48-I48+J48-K48+L48-M48</f>
        <v>-83665448.75</v>
      </c>
      <c r="O48" s="177">
        <v>0</v>
      </c>
      <c r="P48" s="376"/>
    </row>
    <row r="49" spans="1:32" s="135" customFormat="1" ht="14.25" customHeight="1">
      <c r="C49" s="28">
        <v>168507</v>
      </c>
      <c r="D49" s="21" t="s">
        <v>37</v>
      </c>
      <c r="E49" s="166">
        <v>-54831123.600000001</v>
      </c>
      <c r="F49" s="165">
        <v>0</v>
      </c>
      <c r="G49" s="82">
        <v>0</v>
      </c>
      <c r="H49" s="82">
        <v>0</v>
      </c>
      <c r="I49" s="82">
        <v>0</v>
      </c>
      <c r="J49" s="82">
        <v>0</v>
      </c>
      <c r="K49" s="82"/>
      <c r="L49" s="267">
        <v>0</v>
      </c>
      <c r="M49" s="267">
        <v>0</v>
      </c>
      <c r="N49" s="82">
        <f t="shared" si="19"/>
        <v>-54831123.600000001</v>
      </c>
      <c r="O49" s="177">
        <v>0</v>
      </c>
      <c r="P49" s="378"/>
    </row>
    <row r="50" spans="1:32" s="135" customFormat="1" ht="14.25" customHeight="1">
      <c r="C50" s="19">
        <v>168508</v>
      </c>
      <c r="D50" s="20" t="s">
        <v>42</v>
      </c>
      <c r="E50" s="166">
        <v>-50791000</v>
      </c>
      <c r="F50" s="164">
        <v>0</v>
      </c>
      <c r="G50" s="82">
        <v>0</v>
      </c>
      <c r="H50" s="82">
        <v>0</v>
      </c>
      <c r="I50" s="82">
        <v>0</v>
      </c>
      <c r="J50" s="82">
        <v>0</v>
      </c>
      <c r="K50" s="82"/>
      <c r="L50" s="267">
        <v>0</v>
      </c>
      <c r="M50" s="267">
        <v>0</v>
      </c>
      <c r="N50" s="82">
        <f t="shared" si="19"/>
        <v>-50791000</v>
      </c>
      <c r="O50" s="177">
        <v>0</v>
      </c>
      <c r="P50" s="378"/>
    </row>
    <row r="51" spans="1:32" s="34" customFormat="1" ht="14.25" customHeight="1">
      <c r="C51" s="24">
        <v>19</v>
      </c>
      <c r="D51" s="25" t="s">
        <v>44</v>
      </c>
      <c r="E51" s="80">
        <f>+E52+E55+E60</f>
        <v>2128186018.5611112</v>
      </c>
      <c r="F51" s="81">
        <f>+F52+F55+F60</f>
        <v>1605110</v>
      </c>
      <c r="G51" s="81">
        <f t="shared" ref="G51:M51" si="20">+G52+G55+G60</f>
        <v>135875</v>
      </c>
      <c r="H51" s="81">
        <f t="shared" si="20"/>
        <v>0</v>
      </c>
      <c r="I51" s="81">
        <f t="shared" si="20"/>
        <v>0</v>
      </c>
      <c r="J51" s="81">
        <f t="shared" si="20"/>
        <v>22336000</v>
      </c>
      <c r="K51" s="81">
        <f t="shared" si="20"/>
        <v>0</v>
      </c>
      <c r="L51" s="81">
        <f t="shared" si="20"/>
        <v>0</v>
      </c>
      <c r="M51" s="81">
        <f t="shared" si="20"/>
        <v>2170164</v>
      </c>
      <c r="N51" s="80">
        <f>+N52+N55+N60</f>
        <v>2149821089.561111</v>
      </c>
      <c r="O51" s="174">
        <f>+O52+O60</f>
        <v>0</v>
      </c>
      <c r="P51" s="374"/>
    </row>
    <row r="52" spans="1:32" s="34" customFormat="1" ht="27.75" customHeight="1">
      <c r="C52" s="26">
        <v>1905</v>
      </c>
      <c r="D52" s="155" t="s">
        <v>116</v>
      </c>
      <c r="E52" s="80">
        <f>+E53+E54</f>
        <v>968446.11111111101</v>
      </c>
      <c r="F52" s="81">
        <f>+F53+F54</f>
        <v>1605110</v>
      </c>
      <c r="G52" s="81">
        <f>+G53+G54</f>
        <v>135875</v>
      </c>
      <c r="H52" s="81">
        <f>+H53+H54</f>
        <v>0</v>
      </c>
      <c r="I52" s="81">
        <f>+I53+I54</f>
        <v>0</v>
      </c>
      <c r="J52" s="81">
        <v>0</v>
      </c>
      <c r="K52" s="81">
        <f>+K53+K54</f>
        <v>0</v>
      </c>
      <c r="L52" s="268">
        <f>+L53+L54</f>
        <v>0</v>
      </c>
      <c r="M52" s="81">
        <f>+M53+M54</f>
        <v>2170164</v>
      </c>
      <c r="N52" s="81">
        <f>N54+N53</f>
        <v>267517.11111111101</v>
      </c>
      <c r="O52" s="174">
        <f>+O53+O54</f>
        <v>0</v>
      </c>
      <c r="P52" s="374"/>
    </row>
    <row r="53" spans="1:32" s="134" customFormat="1" ht="14.25" customHeight="1">
      <c r="C53" s="28">
        <v>190501</v>
      </c>
      <c r="D53" s="156" t="s">
        <v>117</v>
      </c>
      <c r="E53" s="158">
        <v>630946.11111111101</v>
      </c>
      <c r="F53" s="79">
        <v>855110</v>
      </c>
      <c r="G53" s="79">
        <v>135875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1207664</v>
      </c>
      <c r="N53" s="82">
        <f>E53+F53+H53+J53+L53-G53-I53-K53-M53</f>
        <v>142517.11111111101</v>
      </c>
      <c r="O53" s="177">
        <v>0</v>
      </c>
      <c r="P53" s="377"/>
    </row>
    <row r="54" spans="1:32" s="133" customFormat="1" ht="14.25" customHeight="1">
      <c r="C54" s="28">
        <v>190504</v>
      </c>
      <c r="D54" s="156" t="s">
        <v>28</v>
      </c>
      <c r="E54" s="158">
        <v>337500</v>
      </c>
      <c r="F54" s="79">
        <v>750000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962500</v>
      </c>
      <c r="N54" s="82">
        <f>E54+F54+H54+J54+L54-G54-I54-K54-M54</f>
        <v>125000</v>
      </c>
      <c r="O54" s="178">
        <v>0</v>
      </c>
      <c r="P54" s="376"/>
    </row>
    <row r="55" spans="1:32" ht="19.5" customHeight="1">
      <c r="C55" s="26">
        <v>1906</v>
      </c>
      <c r="D55" s="157" t="s">
        <v>21</v>
      </c>
      <c r="E55" s="80">
        <f t="shared" ref="E55:K55" si="21">+SUM(E56:E59)</f>
        <v>2127217572.45</v>
      </c>
      <c r="F55" s="81">
        <f t="shared" si="21"/>
        <v>0</v>
      </c>
      <c r="G55" s="81">
        <f t="shared" si="21"/>
        <v>0</v>
      </c>
      <c r="H55" s="81">
        <f t="shared" si="21"/>
        <v>0</v>
      </c>
      <c r="I55" s="81">
        <f t="shared" si="21"/>
        <v>0</v>
      </c>
      <c r="J55" s="81">
        <f t="shared" si="21"/>
        <v>22336000</v>
      </c>
      <c r="K55" s="81">
        <f t="shared" si="21"/>
        <v>0</v>
      </c>
      <c r="L55" s="268">
        <f>+L56+L57+L58+L59</f>
        <v>0</v>
      </c>
      <c r="M55" s="81">
        <f>+SUM(M56:M59)</f>
        <v>0</v>
      </c>
      <c r="N55" s="81">
        <f>+E55+F55-G55+H55-I55+J55-K55+L55-M55</f>
        <v>2149553572.4499998</v>
      </c>
      <c r="O55" s="174">
        <f>+SUM(O56:O59)</f>
        <v>0</v>
      </c>
      <c r="P55" s="39"/>
    </row>
    <row r="56" spans="1:32" ht="14.25" customHeight="1">
      <c r="C56" s="28">
        <v>190603</v>
      </c>
      <c r="D56" s="156" t="s">
        <v>23</v>
      </c>
      <c r="E56" s="158">
        <v>0.45000000018626451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82">
        <f>E56+F56+H56+J56+L56-G56-I56-K56-M56</f>
        <v>0.45000000018626451</v>
      </c>
      <c r="O56" s="177">
        <v>0</v>
      </c>
      <c r="P56" s="39"/>
    </row>
    <row r="57" spans="1:32" ht="14.25" customHeight="1">
      <c r="C57" s="28">
        <v>190604</v>
      </c>
      <c r="D57" s="156" t="s">
        <v>24</v>
      </c>
      <c r="E57" s="158">
        <v>172852000</v>
      </c>
      <c r="F57" s="79">
        <v>0</v>
      </c>
      <c r="G57" s="79">
        <v>0</v>
      </c>
      <c r="H57" s="79">
        <v>0</v>
      </c>
      <c r="I57" s="79">
        <v>0</v>
      </c>
      <c r="J57" s="79">
        <v>22336000</v>
      </c>
      <c r="K57" s="79">
        <v>0</v>
      </c>
      <c r="L57" s="79">
        <v>0</v>
      </c>
      <c r="M57" s="79">
        <v>0</v>
      </c>
      <c r="N57" s="82">
        <f>E57+F57+H57+J57+L57-G57-I57-K57-M57</f>
        <v>195188000</v>
      </c>
      <c r="O57" s="177">
        <v>0</v>
      </c>
      <c r="P57" s="39"/>
    </row>
    <row r="58" spans="1:32" ht="14.25" customHeight="1">
      <c r="C58" s="28">
        <v>190601</v>
      </c>
      <c r="D58" s="156" t="s">
        <v>25</v>
      </c>
      <c r="E58" s="158">
        <v>1932741345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82">
        <f>E58+F58+H58+J58+L58-G58-I58-K58-M58</f>
        <v>1932741345</v>
      </c>
      <c r="O58" s="177">
        <v>0</v>
      </c>
      <c r="P58" s="39"/>
    </row>
    <row r="59" spans="1:32" ht="14.25" customHeight="1">
      <c r="C59" s="28">
        <v>190690</v>
      </c>
      <c r="D59" s="156" t="s">
        <v>200</v>
      </c>
      <c r="E59" s="158">
        <v>21624227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82">
        <f>E59+F59+H59+J59+L59-G59-I59-K59-M59</f>
        <v>21624227</v>
      </c>
      <c r="O59" s="178">
        <v>0</v>
      </c>
      <c r="P59" s="39"/>
    </row>
    <row r="60" spans="1:32" s="35" customFormat="1" ht="14.25" customHeight="1">
      <c r="C60" s="26">
        <v>1970</v>
      </c>
      <c r="D60" s="27" t="s">
        <v>46</v>
      </c>
      <c r="E60" s="80">
        <f>+E61</f>
        <v>0</v>
      </c>
      <c r="F60" s="81">
        <f>+F61</f>
        <v>0</v>
      </c>
      <c r="G60" s="81">
        <f t="shared" ref="G60:O60" si="22">+G61</f>
        <v>0</v>
      </c>
      <c r="H60" s="81">
        <f t="shared" si="22"/>
        <v>0</v>
      </c>
      <c r="I60" s="81">
        <f t="shared" si="22"/>
        <v>0</v>
      </c>
      <c r="J60" s="81">
        <f>E60+F60-G60+H60-I60</f>
        <v>0</v>
      </c>
      <c r="K60" s="81">
        <f t="shared" si="22"/>
        <v>0</v>
      </c>
      <c r="L60" s="268">
        <f>G60+H60-I60+J60-K60</f>
        <v>0</v>
      </c>
      <c r="M60" s="268">
        <f t="shared" si="22"/>
        <v>0</v>
      </c>
      <c r="N60" s="81">
        <f>G60+H60-I60+J60-K60</f>
        <v>0</v>
      </c>
      <c r="O60" s="174">
        <f t="shared" si="22"/>
        <v>0</v>
      </c>
      <c r="P60" s="375"/>
    </row>
    <row r="61" spans="1:32" s="136" customFormat="1" ht="14.25" customHeight="1">
      <c r="C61" s="28">
        <v>197007</v>
      </c>
      <c r="D61" s="21" t="s">
        <v>48</v>
      </c>
      <c r="E61" s="84">
        <v>0</v>
      </c>
      <c r="F61" s="82">
        <v>0</v>
      </c>
      <c r="G61" s="82">
        <v>0</v>
      </c>
      <c r="H61" s="82">
        <v>0</v>
      </c>
      <c r="I61" s="83">
        <v>0</v>
      </c>
      <c r="J61" s="82">
        <f>E61+F61+H61-G61-I61</f>
        <v>0</v>
      </c>
      <c r="K61" s="83">
        <v>0</v>
      </c>
      <c r="L61" s="267">
        <f>G61+H61+J61-I61-K61</f>
        <v>0</v>
      </c>
      <c r="M61" s="269">
        <v>0</v>
      </c>
      <c r="N61" s="82">
        <f>E61+F61+H61+J61+L61-G61-I61-K61-M61</f>
        <v>0</v>
      </c>
      <c r="O61" s="178">
        <v>0</v>
      </c>
      <c r="P61" s="379"/>
    </row>
    <row r="62" spans="1:32" s="56" customFormat="1" ht="14.25" customHeight="1">
      <c r="A62" s="35"/>
      <c r="B62" s="35"/>
      <c r="C62" s="50">
        <v>2</v>
      </c>
      <c r="D62" s="51" t="s">
        <v>118</v>
      </c>
      <c r="E62" s="87">
        <f t="shared" ref="E62:O62" si="23">+E63+E99+E114</f>
        <v>214013790.78999999</v>
      </c>
      <c r="F62" s="87">
        <f t="shared" si="23"/>
        <v>595183615.36000001</v>
      </c>
      <c r="G62" s="87">
        <f t="shared" si="23"/>
        <v>521669896.81999999</v>
      </c>
      <c r="H62" s="87">
        <f t="shared" si="23"/>
        <v>574537082</v>
      </c>
      <c r="I62" s="87">
        <f t="shared" si="23"/>
        <v>636889532</v>
      </c>
      <c r="J62" s="192">
        <f t="shared" si="23"/>
        <v>626706891</v>
      </c>
      <c r="K62" s="192">
        <f t="shared" si="23"/>
        <v>570038107</v>
      </c>
      <c r="L62" s="192">
        <f t="shared" si="23"/>
        <v>884215733.33000004</v>
      </c>
      <c r="M62" s="192">
        <f t="shared" si="23"/>
        <v>947222900.53500009</v>
      </c>
      <c r="N62" s="87">
        <f t="shared" si="23"/>
        <v>0</v>
      </c>
      <c r="O62" s="180">
        <f t="shared" si="23"/>
        <v>209190905.45500001</v>
      </c>
      <c r="P62" s="37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 ht="20.25" customHeight="1">
      <c r="C63" s="24">
        <v>24</v>
      </c>
      <c r="D63" s="25" t="s">
        <v>119</v>
      </c>
      <c r="E63" s="80">
        <f t="shared" ref="E63:O63" si="24">+E64+E67+E70+E79+E89+E91</f>
        <v>135499962.78999999</v>
      </c>
      <c r="F63" s="80">
        <f t="shared" si="24"/>
        <v>267190801.36000001</v>
      </c>
      <c r="G63" s="80">
        <f t="shared" si="24"/>
        <v>272190910.81999999</v>
      </c>
      <c r="H63" s="80">
        <f t="shared" si="24"/>
        <v>282499551</v>
      </c>
      <c r="I63" s="80">
        <f t="shared" si="24"/>
        <v>344852001</v>
      </c>
      <c r="J63" s="80">
        <f t="shared" si="24"/>
        <v>379295616</v>
      </c>
      <c r="K63" s="80">
        <f t="shared" si="24"/>
        <v>322626832</v>
      </c>
      <c r="L63" s="80">
        <f t="shared" si="24"/>
        <v>611965300.33000004</v>
      </c>
      <c r="M63" s="80">
        <f t="shared" si="24"/>
        <v>600016231.53500009</v>
      </c>
      <c r="N63" s="80">
        <f t="shared" si="24"/>
        <v>0</v>
      </c>
      <c r="O63" s="175">
        <f t="shared" si="24"/>
        <v>134234669.45500001</v>
      </c>
      <c r="P63" s="39"/>
    </row>
    <row r="64" spans="1:32" s="35" customFormat="1" ht="14.25" customHeight="1">
      <c r="C64" s="26">
        <v>2401</v>
      </c>
      <c r="D64" s="27" t="s">
        <v>8</v>
      </c>
      <c r="E64" s="80">
        <f>+E65+E66</f>
        <v>0</v>
      </c>
      <c r="F64" s="80">
        <f t="shared" ref="F64:O64" si="25">+F65+F66</f>
        <v>20035480</v>
      </c>
      <c r="G64" s="80">
        <f t="shared" si="25"/>
        <v>20035480</v>
      </c>
      <c r="H64" s="80">
        <f t="shared" si="25"/>
        <v>71400792</v>
      </c>
      <c r="I64" s="80">
        <f t="shared" si="25"/>
        <v>71400792</v>
      </c>
      <c r="J64" s="80">
        <f t="shared" si="25"/>
        <v>72882387</v>
      </c>
      <c r="K64" s="80">
        <f t="shared" si="25"/>
        <v>72882387</v>
      </c>
      <c r="L64" s="80">
        <f t="shared" si="25"/>
        <v>265160932</v>
      </c>
      <c r="M64" s="80">
        <f t="shared" si="25"/>
        <v>265160932</v>
      </c>
      <c r="N64" s="80">
        <f t="shared" si="25"/>
        <v>0</v>
      </c>
      <c r="O64" s="175">
        <f t="shared" si="25"/>
        <v>0</v>
      </c>
      <c r="P64" s="375"/>
    </row>
    <row r="65" spans="3:16" s="134" customFormat="1" ht="14.25" customHeight="1">
      <c r="C65" s="28">
        <v>240101</v>
      </c>
      <c r="D65" s="21" t="s">
        <v>10</v>
      </c>
      <c r="E65" s="84">
        <v>0</v>
      </c>
      <c r="F65" s="79">
        <v>20035480</v>
      </c>
      <c r="G65" s="79">
        <v>20035480</v>
      </c>
      <c r="H65" s="79">
        <v>71400792</v>
      </c>
      <c r="I65" s="79">
        <v>71400792</v>
      </c>
      <c r="J65" s="79">
        <v>72882387</v>
      </c>
      <c r="K65" s="79">
        <v>72882387</v>
      </c>
      <c r="L65" s="79">
        <v>181176278</v>
      </c>
      <c r="M65" s="79">
        <v>181176278</v>
      </c>
      <c r="N65" s="82">
        <v>0</v>
      </c>
      <c r="O65" s="178">
        <f>+E65-F65+G65-H65+I65-J65+K65-L65+M65</f>
        <v>0</v>
      </c>
      <c r="P65" s="377"/>
    </row>
    <row r="66" spans="3:16" s="134" customFormat="1" ht="14.25" customHeight="1">
      <c r="C66" s="28">
        <v>240102</v>
      </c>
      <c r="D66" s="21" t="s">
        <v>147</v>
      </c>
      <c r="E66" s="84">
        <v>0</v>
      </c>
      <c r="F66" s="82">
        <v>0</v>
      </c>
      <c r="G66" s="83">
        <v>0</v>
      </c>
      <c r="H66" s="83">
        <v>0</v>
      </c>
      <c r="I66" s="83">
        <v>0</v>
      </c>
      <c r="J66" s="81">
        <v>0</v>
      </c>
      <c r="K66" s="83">
        <v>0</v>
      </c>
      <c r="L66" s="83">
        <v>83984654</v>
      </c>
      <c r="M66" s="83">
        <v>83984654</v>
      </c>
      <c r="N66" s="81">
        <v>0</v>
      </c>
      <c r="O66" s="178">
        <f>+E66-F66+G66-H66+I66-J66+K66-L66+M66</f>
        <v>0</v>
      </c>
      <c r="P66" s="377"/>
    </row>
    <row r="67" spans="3:16" s="35" customFormat="1" ht="14.25" customHeight="1">
      <c r="C67" s="26">
        <v>2424</v>
      </c>
      <c r="D67" s="27" t="s">
        <v>226</v>
      </c>
      <c r="E67" s="80">
        <f>SUM(E68:E69)</f>
        <v>154377</v>
      </c>
      <c r="F67" s="80">
        <f t="shared" ref="F67:O67" si="26">SUM(F68:F69)</f>
        <v>0</v>
      </c>
      <c r="G67" s="80">
        <f t="shared" si="26"/>
        <v>0</v>
      </c>
      <c r="H67" s="80">
        <f t="shared" si="26"/>
        <v>0</v>
      </c>
      <c r="I67" s="80">
        <f t="shared" si="26"/>
        <v>0</v>
      </c>
      <c r="J67" s="80">
        <f t="shared" si="26"/>
        <v>11900000</v>
      </c>
      <c r="K67" s="80">
        <f t="shared" si="26"/>
        <v>11900000</v>
      </c>
      <c r="L67" s="80">
        <f t="shared" si="26"/>
        <v>0</v>
      </c>
      <c r="M67" s="80">
        <f t="shared" si="26"/>
        <v>0</v>
      </c>
      <c r="N67" s="80">
        <f t="shared" si="26"/>
        <v>0</v>
      </c>
      <c r="O67" s="175">
        <f t="shared" si="26"/>
        <v>154377</v>
      </c>
      <c r="P67" s="375"/>
    </row>
    <row r="68" spans="3:16" s="35" customFormat="1" ht="14.25" customHeight="1">
      <c r="C68" s="28">
        <v>242411</v>
      </c>
      <c r="D68" s="21" t="s">
        <v>121</v>
      </c>
      <c r="E68" s="79">
        <v>154377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3">
        <v>0</v>
      </c>
      <c r="L68" s="267">
        <v>0</v>
      </c>
      <c r="M68" s="269">
        <v>0</v>
      </c>
      <c r="N68" s="82">
        <v>0</v>
      </c>
      <c r="O68" s="178">
        <f>+E68-F68+G68-H68+I68-J68+K68-L68+M68</f>
        <v>154377</v>
      </c>
      <c r="P68" s="375"/>
    </row>
    <row r="69" spans="3:16" s="35" customFormat="1" ht="14.25" customHeight="1">
      <c r="C69" s="28">
        <v>242412</v>
      </c>
      <c r="D69" s="21" t="s">
        <v>285</v>
      </c>
      <c r="E69" s="79">
        <v>0</v>
      </c>
      <c r="F69" s="82">
        <v>0</v>
      </c>
      <c r="G69" s="82">
        <v>0</v>
      </c>
      <c r="H69" s="82">
        <v>0</v>
      </c>
      <c r="I69" s="82">
        <v>0</v>
      </c>
      <c r="J69" s="82">
        <v>11900000</v>
      </c>
      <c r="K69" s="82">
        <v>11900000</v>
      </c>
      <c r="L69" s="267"/>
      <c r="M69" s="269"/>
      <c r="N69" s="82"/>
      <c r="O69" s="178"/>
      <c r="P69" s="375"/>
    </row>
    <row r="70" spans="3:16" s="35" customFormat="1" ht="14.25" customHeight="1">
      <c r="C70" s="17">
        <v>2436</v>
      </c>
      <c r="D70" s="18" t="s">
        <v>22</v>
      </c>
      <c r="E70" s="85">
        <f t="shared" ref="E70:O70" si="27">+SUM(E71:E78)</f>
        <v>493791.96000000031</v>
      </c>
      <c r="F70" s="86">
        <f t="shared" si="27"/>
        <v>5394303.1200000001</v>
      </c>
      <c r="G70" s="86">
        <f t="shared" si="27"/>
        <v>5826889.7999999998</v>
      </c>
      <c r="H70" s="86">
        <f t="shared" si="27"/>
        <v>1314000</v>
      </c>
      <c r="I70" s="86">
        <f t="shared" si="27"/>
        <v>6665606</v>
      </c>
      <c r="J70" s="86">
        <f t="shared" si="27"/>
        <v>8790000</v>
      </c>
      <c r="K70" s="86">
        <f t="shared" si="27"/>
        <v>3922467</v>
      </c>
      <c r="L70" s="86">
        <f t="shared" si="27"/>
        <v>12026557.359999999</v>
      </c>
      <c r="M70" s="86">
        <f t="shared" si="27"/>
        <v>10616105.717</v>
      </c>
      <c r="N70" s="86">
        <f t="shared" si="27"/>
        <v>0</v>
      </c>
      <c r="O70" s="179">
        <f t="shared" si="27"/>
        <v>-3.0000000260770321E-3</v>
      </c>
      <c r="P70" s="375"/>
    </row>
    <row r="71" spans="3:16" s="133" customFormat="1" ht="15" customHeight="1">
      <c r="C71" s="19">
        <v>243603</v>
      </c>
      <c r="D71" s="20" t="s">
        <v>19</v>
      </c>
      <c r="E71" s="79">
        <v>666.30000000074506</v>
      </c>
      <c r="F71" s="79">
        <v>1913471.12</v>
      </c>
      <c r="G71" s="79">
        <v>1963057.8</v>
      </c>
      <c r="H71" s="79">
        <v>0</v>
      </c>
      <c r="I71" s="79">
        <v>1900000</v>
      </c>
      <c r="J71" s="79">
        <v>1950000</v>
      </c>
      <c r="K71" s="79">
        <v>0</v>
      </c>
      <c r="L71" s="79">
        <f>2328000+351-0.02</f>
        <v>2328350.98</v>
      </c>
      <c r="M71" s="79">
        <v>2328098</v>
      </c>
      <c r="N71" s="82">
        <v>0</v>
      </c>
      <c r="O71" s="178">
        <f t="shared" ref="O71:O78" si="28">+E71-F71+G71-H71+I71-J71+K71-L71+M71</f>
        <v>0</v>
      </c>
      <c r="P71" s="376"/>
    </row>
    <row r="72" spans="3:16" s="133" customFormat="1" ht="14.25" customHeight="1">
      <c r="C72" s="19">
        <v>243605</v>
      </c>
      <c r="D72" s="20" t="s">
        <v>26</v>
      </c>
      <c r="E72" s="79">
        <v>490874</v>
      </c>
      <c r="F72" s="79">
        <v>1506000</v>
      </c>
      <c r="G72" s="79">
        <v>1506000</v>
      </c>
      <c r="H72" s="79">
        <v>0</v>
      </c>
      <c r="I72" s="79">
        <v>9076</v>
      </c>
      <c r="J72" s="79">
        <v>13000</v>
      </c>
      <c r="K72" s="79">
        <v>6050</v>
      </c>
      <c r="L72" s="79">
        <f>1549000+492830+0.44</f>
        <v>2041830.44</v>
      </c>
      <c r="M72" s="79">
        <v>1548830.44</v>
      </c>
      <c r="N72" s="82">
        <v>0</v>
      </c>
      <c r="O72" s="178">
        <f t="shared" si="28"/>
        <v>0</v>
      </c>
      <c r="P72" s="376"/>
    </row>
    <row r="73" spans="3:16" s="133" customFormat="1" ht="14.25" customHeight="1">
      <c r="C73" s="19">
        <v>243606</v>
      </c>
      <c r="D73" s="20" t="s">
        <v>28</v>
      </c>
      <c r="E73" s="79">
        <v>0</v>
      </c>
      <c r="F73" s="79">
        <v>608832</v>
      </c>
      <c r="G73" s="79">
        <v>608832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82">
        <v>0</v>
      </c>
      <c r="O73" s="178">
        <f t="shared" si="28"/>
        <v>0</v>
      </c>
      <c r="P73" s="376"/>
    </row>
    <row r="74" spans="3:16" s="134" customFormat="1" ht="14.25" customHeight="1">
      <c r="C74" s="19">
        <v>243608</v>
      </c>
      <c r="D74" s="20" t="s">
        <v>29</v>
      </c>
      <c r="E74" s="79">
        <v>30.379999999888241</v>
      </c>
      <c r="F74" s="79">
        <v>0</v>
      </c>
      <c r="G74" s="79">
        <v>0</v>
      </c>
      <c r="H74" s="79">
        <v>0</v>
      </c>
      <c r="I74" s="79">
        <v>1083628</v>
      </c>
      <c r="J74" s="79">
        <v>2102000</v>
      </c>
      <c r="K74" s="79">
        <v>1171106</v>
      </c>
      <c r="L74" s="79">
        <f>3591111+152859+0.18</f>
        <v>3743970.18</v>
      </c>
      <c r="M74" s="79">
        <v>3591205.7970000003</v>
      </c>
      <c r="N74" s="82">
        <v>0</v>
      </c>
      <c r="O74" s="178">
        <f t="shared" si="28"/>
        <v>-3.0000000260770321E-3</v>
      </c>
      <c r="P74" s="377"/>
    </row>
    <row r="75" spans="3:16" ht="14.25" customHeight="1">
      <c r="C75" s="19">
        <v>243615</v>
      </c>
      <c r="D75" s="20" t="s">
        <v>183</v>
      </c>
      <c r="E75" s="79">
        <v>0.42999999970197678</v>
      </c>
      <c r="F75" s="79">
        <v>1366000</v>
      </c>
      <c r="G75" s="79">
        <v>1749000</v>
      </c>
      <c r="H75" s="79">
        <f>876000+438000</f>
        <v>1314000</v>
      </c>
      <c r="I75" s="79">
        <v>2649000</v>
      </c>
      <c r="J75" s="79">
        <v>3697000</v>
      </c>
      <c r="K75" s="79">
        <v>2741000</v>
      </c>
      <c r="L75" s="79">
        <f>2730000+818000+0.43</f>
        <v>3548000.43</v>
      </c>
      <c r="M75" s="79">
        <v>2786000</v>
      </c>
      <c r="N75" s="82">
        <v>0</v>
      </c>
      <c r="O75" s="178">
        <f t="shared" si="28"/>
        <v>0</v>
      </c>
      <c r="P75" s="39"/>
    </row>
    <row r="76" spans="3:16" ht="14.25" customHeight="1">
      <c r="C76" s="19">
        <v>243625</v>
      </c>
      <c r="D76" s="20" t="s">
        <v>228</v>
      </c>
      <c r="E76" s="79">
        <v>1972.8500000000004</v>
      </c>
      <c r="F76" s="79">
        <v>0</v>
      </c>
      <c r="G76" s="79">
        <v>0</v>
      </c>
      <c r="H76" s="79">
        <v>0</v>
      </c>
      <c r="I76" s="79">
        <v>1023902</v>
      </c>
      <c r="J76" s="79">
        <v>1028000</v>
      </c>
      <c r="K76" s="79">
        <v>4311</v>
      </c>
      <c r="L76" s="79">
        <f>362000+2157+0.33</f>
        <v>364157.33</v>
      </c>
      <c r="M76" s="79">
        <v>361971.48</v>
      </c>
      <c r="N76" s="82"/>
      <c r="O76" s="178">
        <f t="shared" si="28"/>
        <v>0</v>
      </c>
      <c r="P76" s="39"/>
    </row>
    <row r="77" spans="3:16" s="35" customFormat="1" ht="14.25" customHeight="1">
      <c r="C77" s="19">
        <v>243626</v>
      </c>
      <c r="D77" s="20" t="s">
        <v>122</v>
      </c>
      <c r="E77" s="79">
        <v>248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248</v>
      </c>
      <c r="M77" s="79">
        <v>0</v>
      </c>
      <c r="N77" s="82">
        <v>0</v>
      </c>
      <c r="O77" s="178">
        <f t="shared" si="28"/>
        <v>0</v>
      </c>
      <c r="P77" s="375"/>
    </row>
    <row r="78" spans="3:16" s="133" customFormat="1" ht="14.25" customHeight="1">
      <c r="C78" s="19">
        <v>243690</v>
      </c>
      <c r="D78" s="20" t="s">
        <v>123</v>
      </c>
      <c r="E78" s="79">
        <v>0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3">
        <f>E78+G78+I78-F78-H78</f>
        <v>0</v>
      </c>
      <c r="L78" s="267">
        <v>0</v>
      </c>
      <c r="M78" s="269">
        <f>G78+I78+K78-H78-J78</f>
        <v>0</v>
      </c>
      <c r="N78" s="82">
        <v>0</v>
      </c>
      <c r="O78" s="178">
        <f t="shared" si="28"/>
        <v>0</v>
      </c>
      <c r="P78" s="376"/>
    </row>
    <row r="79" spans="3:16" s="35" customFormat="1" ht="14.25" customHeight="1">
      <c r="C79" s="17">
        <v>2440</v>
      </c>
      <c r="D79" s="18" t="s">
        <v>31</v>
      </c>
      <c r="E79" s="85">
        <f t="shared" ref="E79:O79" si="29">+E82+E80+E81</f>
        <v>116149916.48</v>
      </c>
      <c r="F79" s="85">
        <f t="shared" si="29"/>
        <v>13775545.239999998</v>
      </c>
      <c r="G79" s="85">
        <f t="shared" si="29"/>
        <v>19114571.02</v>
      </c>
      <c r="H79" s="85">
        <f t="shared" si="29"/>
        <v>23519308</v>
      </c>
      <c r="I79" s="85">
        <f t="shared" si="29"/>
        <v>18493490</v>
      </c>
      <c r="J79" s="85">
        <f t="shared" si="29"/>
        <v>14236558</v>
      </c>
      <c r="K79" s="85">
        <f t="shared" si="29"/>
        <v>24461969</v>
      </c>
      <c r="L79" s="85">
        <f t="shared" si="29"/>
        <v>48936542.969999999</v>
      </c>
      <c r="M79" s="85">
        <f t="shared" si="29"/>
        <v>38397925.817999996</v>
      </c>
      <c r="N79" s="85">
        <f t="shared" si="29"/>
        <v>0</v>
      </c>
      <c r="O79" s="181">
        <f t="shared" si="29"/>
        <v>116149918.10800001</v>
      </c>
      <c r="P79" s="375"/>
    </row>
    <row r="80" spans="3:16" s="35" customFormat="1" ht="14.25" customHeight="1">
      <c r="C80" s="19">
        <v>244016</v>
      </c>
      <c r="D80" s="23" t="s">
        <v>167</v>
      </c>
      <c r="E80" s="79"/>
      <c r="F80" s="79">
        <v>534700</v>
      </c>
      <c r="G80" s="79">
        <v>534700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82"/>
      <c r="O80" s="178">
        <f>+E80-F80+G80-H80+I80-J80+K80-L80+M80</f>
        <v>0</v>
      </c>
      <c r="P80" s="375"/>
    </row>
    <row r="81" spans="3:16" s="35" customFormat="1" ht="14.25" customHeight="1">
      <c r="C81" s="19">
        <v>244020</v>
      </c>
      <c r="D81" s="23" t="s">
        <v>217</v>
      </c>
      <c r="E81" s="79">
        <v>0</v>
      </c>
      <c r="F81" s="79">
        <f>13209+124890</f>
        <v>138099</v>
      </c>
      <c r="G81" s="79">
        <f>13209+124890</f>
        <v>138099</v>
      </c>
      <c r="H81" s="79">
        <v>141610</v>
      </c>
      <c r="I81" s="79">
        <v>141610</v>
      </c>
      <c r="J81" s="79">
        <v>141610</v>
      </c>
      <c r="K81" s="79">
        <v>141610</v>
      </c>
      <c r="L81" s="79">
        <v>0</v>
      </c>
      <c r="M81" s="79">
        <v>0</v>
      </c>
      <c r="N81" s="82"/>
      <c r="O81" s="178">
        <f>+E81-F81+G81-H81+I81-J81+K81-L81+M81</f>
        <v>0</v>
      </c>
      <c r="P81" s="375"/>
    </row>
    <row r="82" spans="3:16" s="35" customFormat="1" ht="14.25" customHeight="1">
      <c r="C82" s="19">
        <v>244080</v>
      </c>
      <c r="D82" s="20"/>
      <c r="E82" s="79">
        <f>SUM(E83:E88)</f>
        <v>116149916.48</v>
      </c>
      <c r="F82" s="79">
        <f t="shared" ref="F82:O82" si="30">SUM(F83:F88)</f>
        <v>13102746.239999998</v>
      </c>
      <c r="G82" s="79">
        <f t="shared" si="30"/>
        <v>18441772.02</v>
      </c>
      <c r="H82" s="79">
        <f t="shared" si="30"/>
        <v>23377698</v>
      </c>
      <c r="I82" s="79">
        <f t="shared" si="30"/>
        <v>18351880</v>
      </c>
      <c r="J82" s="79">
        <f t="shared" si="30"/>
        <v>14094948</v>
      </c>
      <c r="K82" s="79">
        <f t="shared" si="30"/>
        <v>24320359</v>
      </c>
      <c r="L82" s="79">
        <f t="shared" si="30"/>
        <v>48936542.969999999</v>
      </c>
      <c r="M82" s="79">
        <f t="shared" si="30"/>
        <v>38397925.817999996</v>
      </c>
      <c r="N82" s="79">
        <f t="shared" si="30"/>
        <v>0</v>
      </c>
      <c r="O82" s="176">
        <f t="shared" si="30"/>
        <v>116149918.10800001</v>
      </c>
      <c r="P82" s="375"/>
    </row>
    <row r="83" spans="3:16" s="133" customFormat="1" ht="14.25" customHeight="1">
      <c r="C83" s="19">
        <v>24408001</v>
      </c>
      <c r="D83" s="23" t="s">
        <v>32</v>
      </c>
      <c r="E83" s="79">
        <v>53618028.859999999</v>
      </c>
      <c r="F83" s="79">
        <v>1867713</v>
      </c>
      <c r="G83" s="79">
        <v>2883858.42</v>
      </c>
      <c r="H83" s="79">
        <v>3779852</v>
      </c>
      <c r="I83" s="79">
        <v>2703818</v>
      </c>
      <c r="J83" s="79">
        <v>2349313</v>
      </c>
      <c r="K83" s="79">
        <v>3491756</v>
      </c>
      <c r="L83" s="79">
        <v>8063567.9199999999</v>
      </c>
      <c r="M83" s="79">
        <v>6114747.977</v>
      </c>
      <c r="N83" s="82">
        <v>0</v>
      </c>
      <c r="O83" s="178">
        <f t="shared" ref="O83:O87" si="31">+E83-F83+G83-H83+I83-J83+K83-L83+M83</f>
        <v>52751763.336999997</v>
      </c>
      <c r="P83" s="376"/>
    </row>
    <row r="84" spans="3:16" s="134" customFormat="1" ht="14.25" customHeight="1">
      <c r="C84" s="19">
        <v>24408002</v>
      </c>
      <c r="D84" s="23" t="s">
        <v>33</v>
      </c>
      <c r="E84" s="79">
        <v>50648754.219999999</v>
      </c>
      <c r="F84" s="79">
        <v>2249891</v>
      </c>
      <c r="G84" s="79">
        <v>3060479.36</v>
      </c>
      <c r="H84" s="79">
        <v>3351680</v>
      </c>
      <c r="I84" s="79">
        <v>2966845</v>
      </c>
      <c r="J84" s="79">
        <v>1904426</v>
      </c>
      <c r="K84" s="79">
        <v>3676050</v>
      </c>
      <c r="L84" s="79">
        <v>7101527.5999999996</v>
      </c>
      <c r="M84" s="79">
        <v>5940868.2259999998</v>
      </c>
      <c r="N84" s="82">
        <v>0</v>
      </c>
      <c r="O84" s="178">
        <f t="shared" si="31"/>
        <v>51685472.206</v>
      </c>
      <c r="P84" s="377"/>
    </row>
    <row r="85" spans="3:16" s="133" customFormat="1" ht="14.25" customHeight="1">
      <c r="C85" s="19">
        <v>24408003</v>
      </c>
      <c r="D85" s="23" t="s">
        <v>145</v>
      </c>
      <c r="E85" s="79">
        <v>4437900.4800000004</v>
      </c>
      <c r="F85" s="79">
        <v>1883594.52</v>
      </c>
      <c r="G85" s="79">
        <v>2421607.52</v>
      </c>
      <c r="H85" s="79">
        <v>3249234</v>
      </c>
      <c r="I85" s="79">
        <v>2479101</v>
      </c>
      <c r="J85" s="79">
        <v>1873528</v>
      </c>
      <c r="K85" s="79">
        <v>3855905</v>
      </c>
      <c r="L85" s="79">
        <v>6754289.7000000002</v>
      </c>
      <c r="M85" s="79">
        <v>7170781.5470000003</v>
      </c>
      <c r="N85" s="82">
        <v>0</v>
      </c>
      <c r="O85" s="178">
        <f t="shared" si="31"/>
        <v>6604649.3270000005</v>
      </c>
      <c r="P85" s="376"/>
    </row>
    <row r="86" spans="3:16" s="133" customFormat="1" ht="14.25" customHeight="1">
      <c r="C86" s="19">
        <v>24408004</v>
      </c>
      <c r="D86" s="23" t="s">
        <v>173</v>
      </c>
      <c r="E86" s="79">
        <v>4548883.92</v>
      </c>
      <c r="F86" s="79">
        <v>6222772.7199999997</v>
      </c>
      <c r="G86" s="79">
        <v>9197051.7200000007</v>
      </c>
      <c r="H86" s="79">
        <v>11284243</v>
      </c>
      <c r="I86" s="79">
        <v>8445416</v>
      </c>
      <c r="J86" s="79">
        <v>6608123</v>
      </c>
      <c r="K86" s="79">
        <v>11764439</v>
      </c>
      <c r="L86" s="79">
        <v>22703376.829999998</v>
      </c>
      <c r="M86" s="79">
        <v>15074409.211999999</v>
      </c>
      <c r="N86" s="82"/>
      <c r="O86" s="178">
        <f t="shared" si="31"/>
        <v>2211684.3020000029</v>
      </c>
      <c r="P86" s="376"/>
    </row>
    <row r="87" spans="3:16" s="133" customFormat="1" ht="14.25" customHeight="1">
      <c r="C87" s="19">
        <v>24408005</v>
      </c>
      <c r="D87" s="23" t="s">
        <v>176</v>
      </c>
      <c r="E87" s="79">
        <v>2896349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82"/>
      <c r="O87" s="178">
        <f t="shared" si="31"/>
        <v>2896349</v>
      </c>
      <c r="P87" s="376"/>
    </row>
    <row r="88" spans="3:16" s="133" customFormat="1" ht="14.25" customHeight="1">
      <c r="C88" s="19">
        <v>24408006</v>
      </c>
      <c r="D88" s="23" t="s">
        <v>276</v>
      </c>
      <c r="E88" s="79">
        <v>0</v>
      </c>
      <c r="F88" s="79">
        <v>878775</v>
      </c>
      <c r="G88" s="79">
        <v>878775</v>
      </c>
      <c r="H88" s="79">
        <v>1712689</v>
      </c>
      <c r="I88" s="79">
        <f>1712689+44011</f>
        <v>1756700</v>
      </c>
      <c r="J88" s="79">
        <v>1359558</v>
      </c>
      <c r="K88" s="79">
        <f>1010353+521856</f>
        <v>1532209</v>
      </c>
      <c r="L88" s="79">
        <v>4313780.92</v>
      </c>
      <c r="M88" s="79">
        <f>3631498.856+465620</f>
        <v>4097118.8560000001</v>
      </c>
      <c r="N88" s="82"/>
      <c r="O88" s="189">
        <f t="shared" ref="O88" si="32">+E88-F88+G88-H88+I88-J88+K88-L88+M88</f>
        <v>-6.3999999780207872E-2</v>
      </c>
      <c r="P88" s="376"/>
    </row>
    <row r="89" spans="3:16" s="34" customFormat="1" ht="14.25" customHeight="1">
      <c r="C89" s="17">
        <v>2460</v>
      </c>
      <c r="D89" s="18"/>
      <c r="E89" s="85">
        <f>+E90</f>
        <v>0</v>
      </c>
      <c r="F89" s="86">
        <f>+F90</f>
        <v>0</v>
      </c>
      <c r="G89" s="86">
        <f>+G90</f>
        <v>0</v>
      </c>
      <c r="H89" s="86">
        <f t="shared" ref="H89:N89" si="33">+H90</f>
        <v>15969991</v>
      </c>
      <c r="I89" s="86">
        <f t="shared" si="33"/>
        <v>15969991</v>
      </c>
      <c r="J89" s="86">
        <f t="shared" si="33"/>
        <v>0</v>
      </c>
      <c r="K89" s="86">
        <f t="shared" si="33"/>
        <v>0</v>
      </c>
      <c r="L89" s="270">
        <f t="shared" si="33"/>
        <v>0</v>
      </c>
      <c r="M89" s="270">
        <f t="shared" si="33"/>
        <v>0</v>
      </c>
      <c r="N89" s="86">
        <f t="shared" si="33"/>
        <v>0</v>
      </c>
      <c r="O89" s="179">
        <f t="shared" ref="O89" si="34">E89+G89+I89+K89+M89-F89-H89-J89-L89</f>
        <v>0</v>
      </c>
      <c r="P89" s="374"/>
    </row>
    <row r="90" spans="3:16" s="134" customFormat="1" ht="14.25" customHeight="1">
      <c r="C90" s="19">
        <v>246002</v>
      </c>
      <c r="D90" s="20" t="s">
        <v>278</v>
      </c>
      <c r="E90" s="79">
        <v>0</v>
      </c>
      <c r="F90" s="82">
        <v>0</v>
      </c>
      <c r="G90" s="82">
        <v>0</v>
      </c>
      <c r="H90" s="82">
        <v>15969991</v>
      </c>
      <c r="I90" s="82">
        <v>15969991</v>
      </c>
      <c r="J90" s="83">
        <v>0</v>
      </c>
      <c r="K90" s="83">
        <v>0</v>
      </c>
      <c r="L90" s="269">
        <v>0</v>
      </c>
      <c r="M90" s="269">
        <v>0</v>
      </c>
      <c r="N90" s="83">
        <v>0</v>
      </c>
      <c r="O90" s="178">
        <f>+E90-F90+G90-H90+I90-J90+K90-L90+M90</f>
        <v>0</v>
      </c>
      <c r="P90" s="377"/>
    </row>
    <row r="91" spans="3:16" s="134" customFormat="1" ht="14.25" customHeight="1">
      <c r="C91" s="26">
        <v>2490</v>
      </c>
      <c r="D91" s="27" t="s">
        <v>225</v>
      </c>
      <c r="E91" s="80">
        <f t="shared" ref="E91:O91" si="35">+SUM(E92:E98)</f>
        <v>18701877.350000001</v>
      </c>
      <c r="F91" s="80">
        <f t="shared" si="35"/>
        <v>227985473</v>
      </c>
      <c r="G91" s="80">
        <f t="shared" si="35"/>
        <v>227213970</v>
      </c>
      <c r="H91" s="80">
        <f t="shared" si="35"/>
        <v>170295460</v>
      </c>
      <c r="I91" s="80">
        <f t="shared" si="35"/>
        <v>232322122</v>
      </c>
      <c r="J91" s="80">
        <f t="shared" si="35"/>
        <v>271486671</v>
      </c>
      <c r="K91" s="80">
        <f t="shared" si="35"/>
        <v>209460009</v>
      </c>
      <c r="L91" s="80">
        <f t="shared" si="35"/>
        <v>285841268</v>
      </c>
      <c r="M91" s="80">
        <f t="shared" si="35"/>
        <v>285841268</v>
      </c>
      <c r="N91" s="80">
        <f t="shared" si="35"/>
        <v>0</v>
      </c>
      <c r="O91" s="175">
        <f t="shared" si="35"/>
        <v>17930374.350000001</v>
      </c>
      <c r="P91" s="377"/>
    </row>
    <row r="92" spans="3:16" s="134" customFormat="1" ht="14.25" customHeight="1">
      <c r="C92" s="28">
        <v>249027</v>
      </c>
      <c r="D92" s="21" t="s">
        <v>14</v>
      </c>
      <c r="E92" s="79">
        <v>771503</v>
      </c>
      <c r="F92" s="79">
        <v>3241503</v>
      </c>
      <c r="G92" s="79">
        <v>2470000</v>
      </c>
      <c r="H92" s="79">
        <f>9196335+165000</f>
        <v>9361335</v>
      </c>
      <c r="I92" s="79">
        <f>9196335+165000</f>
        <v>9361335</v>
      </c>
      <c r="J92" s="79">
        <v>7270024</v>
      </c>
      <c r="K92" s="79">
        <v>7270024</v>
      </c>
      <c r="L92" s="79">
        <v>24026608</v>
      </c>
      <c r="M92" s="79">
        <v>24026608</v>
      </c>
      <c r="N92" s="82">
        <v>0</v>
      </c>
      <c r="O92" s="178">
        <f t="shared" ref="O92:O98" si="36">+E92-F92+G92-H92+I92-J92+K92-L92+M92</f>
        <v>0</v>
      </c>
      <c r="P92" s="377"/>
    </row>
    <row r="93" spans="3:16" s="134" customFormat="1" ht="14.25" customHeight="1">
      <c r="C93" s="28">
        <v>249028</v>
      </c>
      <c r="D93" s="21" t="s">
        <v>117</v>
      </c>
      <c r="E93" s="79">
        <v>0</v>
      </c>
      <c r="F93" s="79">
        <v>855110</v>
      </c>
      <c r="G93" s="79">
        <v>855110</v>
      </c>
      <c r="H93" s="79">
        <v>0</v>
      </c>
      <c r="I93" s="79">
        <v>0</v>
      </c>
      <c r="J93" s="79">
        <v>0</v>
      </c>
      <c r="K93" s="79">
        <v>0</v>
      </c>
      <c r="L93" s="79">
        <v>1207664</v>
      </c>
      <c r="M93" s="79">
        <v>1207664</v>
      </c>
      <c r="N93" s="82">
        <v>0</v>
      </c>
      <c r="O93" s="178">
        <f t="shared" si="36"/>
        <v>0</v>
      </c>
      <c r="P93" s="377"/>
    </row>
    <row r="94" spans="3:16" s="134" customFormat="1" ht="14.25" customHeight="1">
      <c r="C94" s="28">
        <v>249050</v>
      </c>
      <c r="D94" s="21" t="s">
        <v>239</v>
      </c>
      <c r="E94" s="79"/>
      <c r="F94" s="79">
        <v>8070300</v>
      </c>
      <c r="G94" s="79">
        <v>8070300</v>
      </c>
      <c r="H94" s="79">
        <v>8387100</v>
      </c>
      <c r="I94" s="79">
        <v>8387100</v>
      </c>
      <c r="J94" s="79">
        <v>8387100</v>
      </c>
      <c r="K94" s="79">
        <v>8387100</v>
      </c>
      <c r="L94" s="79">
        <v>8387100</v>
      </c>
      <c r="M94" s="79">
        <v>8387100</v>
      </c>
      <c r="N94" s="82"/>
      <c r="O94" s="189">
        <f t="shared" si="36"/>
        <v>0</v>
      </c>
      <c r="P94" s="377"/>
    </row>
    <row r="95" spans="3:16" s="134" customFormat="1" ht="14.25" customHeight="1">
      <c r="C95" s="28">
        <v>249051</v>
      </c>
      <c r="D95" s="21" t="s">
        <v>120</v>
      </c>
      <c r="E95" s="79">
        <v>0</v>
      </c>
      <c r="F95" s="79">
        <v>3738248</v>
      </c>
      <c r="G95" s="79">
        <v>3738248</v>
      </c>
      <c r="H95" s="79">
        <v>4339592</v>
      </c>
      <c r="I95" s="79">
        <v>4339592</v>
      </c>
      <c r="J95" s="79">
        <v>2549946</v>
      </c>
      <c r="K95" s="79">
        <v>2549946</v>
      </c>
      <c r="L95" s="79">
        <v>5352325</v>
      </c>
      <c r="M95" s="79">
        <v>5352325</v>
      </c>
      <c r="N95" s="82"/>
      <c r="O95" s="178">
        <f t="shared" si="36"/>
        <v>0</v>
      </c>
      <c r="P95" s="377"/>
    </row>
    <row r="96" spans="3:16" s="134" customFormat="1" ht="14.25" customHeight="1">
      <c r="C96" s="28">
        <v>249054</v>
      </c>
      <c r="D96" s="21" t="s">
        <v>19</v>
      </c>
      <c r="E96" s="79">
        <v>0</v>
      </c>
      <c r="F96" s="79">
        <v>160887524</v>
      </c>
      <c r="G96" s="79">
        <v>160887524</v>
      </c>
      <c r="H96" s="79">
        <v>122114645</v>
      </c>
      <c r="I96" s="79">
        <v>184141307</v>
      </c>
      <c r="J96" s="79">
        <v>227186813</v>
      </c>
      <c r="K96" s="79">
        <v>165160151</v>
      </c>
      <c r="L96" s="79">
        <v>219562283</v>
      </c>
      <c r="M96" s="79">
        <v>219562283</v>
      </c>
      <c r="N96" s="82">
        <v>0</v>
      </c>
      <c r="O96" s="178">
        <f t="shared" si="36"/>
        <v>0</v>
      </c>
      <c r="P96" s="377"/>
    </row>
    <row r="97" spans="3:16" s="134" customFormat="1" ht="14.25" customHeight="1">
      <c r="C97" s="28">
        <v>249058</v>
      </c>
      <c r="D97" s="21" t="s">
        <v>224</v>
      </c>
      <c r="E97" s="79">
        <v>0</v>
      </c>
      <c r="F97" s="79">
        <v>26092788</v>
      </c>
      <c r="G97" s="79">
        <v>26092788</v>
      </c>
      <c r="H97" s="79">
        <v>26092788</v>
      </c>
      <c r="I97" s="79">
        <v>26092788</v>
      </c>
      <c r="J97" s="79">
        <v>26092788</v>
      </c>
      <c r="K97" s="79">
        <v>26092788</v>
      </c>
      <c r="L97" s="79">
        <v>27305288</v>
      </c>
      <c r="M97" s="79">
        <v>27305288</v>
      </c>
      <c r="N97" s="79">
        <v>0</v>
      </c>
      <c r="O97" s="178">
        <f t="shared" si="36"/>
        <v>0</v>
      </c>
      <c r="P97" s="377"/>
    </row>
    <row r="98" spans="3:16" s="134" customFormat="1" ht="14.25" customHeight="1">
      <c r="C98" s="28">
        <v>249090</v>
      </c>
      <c r="D98" s="21" t="s">
        <v>213</v>
      </c>
      <c r="E98" s="79">
        <v>17930374.350000001</v>
      </c>
      <c r="F98" s="79">
        <v>25100000</v>
      </c>
      <c r="G98" s="79">
        <v>25100000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82">
        <v>0</v>
      </c>
      <c r="O98" s="178">
        <f t="shared" si="36"/>
        <v>17930374.350000001</v>
      </c>
      <c r="P98" s="377"/>
    </row>
    <row r="99" spans="3:16" ht="17.25" customHeight="1">
      <c r="C99" s="15">
        <v>25</v>
      </c>
      <c r="D99" s="16" t="s">
        <v>231</v>
      </c>
      <c r="E99" s="85">
        <f>+E100</f>
        <v>78513828</v>
      </c>
      <c r="F99" s="86">
        <f>+F100</f>
        <v>327992814</v>
      </c>
      <c r="G99" s="86">
        <f t="shared" ref="G99:N99" si="37">+G100</f>
        <v>249478986</v>
      </c>
      <c r="H99" s="86">
        <f t="shared" si="37"/>
        <v>292037531</v>
      </c>
      <c r="I99" s="86">
        <f t="shared" si="37"/>
        <v>292037531</v>
      </c>
      <c r="J99" s="86">
        <f t="shared" si="37"/>
        <v>247411275</v>
      </c>
      <c r="K99" s="86">
        <f t="shared" si="37"/>
        <v>247411275</v>
      </c>
      <c r="L99" s="86">
        <f t="shared" si="37"/>
        <v>272250433</v>
      </c>
      <c r="M99" s="86">
        <f t="shared" si="37"/>
        <v>347206669</v>
      </c>
      <c r="N99" s="86">
        <f t="shared" si="37"/>
        <v>0</v>
      </c>
      <c r="O99" s="179">
        <f t="shared" ref="O99" si="38">+O100</f>
        <v>74956236</v>
      </c>
      <c r="P99" s="39"/>
    </row>
    <row r="100" spans="3:16" s="35" customFormat="1" ht="14.25" customHeight="1">
      <c r="C100" s="17">
        <v>2511</v>
      </c>
      <c r="D100" s="18" t="s">
        <v>232</v>
      </c>
      <c r="E100" s="85">
        <f>+SUM(E101:E113)</f>
        <v>78513828</v>
      </c>
      <c r="F100" s="85">
        <f t="shared" ref="F100:O100" si="39">+SUM(F101:F113)</f>
        <v>327992814</v>
      </c>
      <c r="G100" s="85">
        <f t="shared" si="39"/>
        <v>249478986</v>
      </c>
      <c r="H100" s="85">
        <f t="shared" si="39"/>
        <v>292037531</v>
      </c>
      <c r="I100" s="85">
        <f t="shared" si="39"/>
        <v>292037531</v>
      </c>
      <c r="J100" s="85">
        <f t="shared" ref="J100:K100" si="40">+SUM(J101:J113)</f>
        <v>247411275</v>
      </c>
      <c r="K100" s="85">
        <f t="shared" si="40"/>
        <v>247411275</v>
      </c>
      <c r="L100" s="85">
        <f t="shared" si="39"/>
        <v>272250433</v>
      </c>
      <c r="M100" s="85">
        <f t="shared" si="39"/>
        <v>347206669</v>
      </c>
      <c r="N100" s="85">
        <f t="shared" si="39"/>
        <v>0</v>
      </c>
      <c r="O100" s="181">
        <f t="shared" si="39"/>
        <v>74956236</v>
      </c>
      <c r="P100" s="375"/>
    </row>
    <row r="101" spans="3:16" s="133" customFormat="1" ht="14.25" customHeight="1">
      <c r="C101" s="19">
        <v>251101</v>
      </c>
      <c r="D101" s="20" t="s">
        <v>124</v>
      </c>
      <c r="E101" s="79">
        <v>0</v>
      </c>
      <c r="F101" s="79">
        <v>135773279</v>
      </c>
      <c r="G101" s="79">
        <v>135773279</v>
      </c>
      <c r="H101" s="79">
        <v>166268592</v>
      </c>
      <c r="I101" s="79">
        <v>166268592</v>
      </c>
      <c r="J101" s="79">
        <v>150472416</v>
      </c>
      <c r="K101" s="79">
        <v>150472416</v>
      </c>
      <c r="L101" s="79">
        <v>150472416</v>
      </c>
      <c r="M101" s="79">
        <v>150472416</v>
      </c>
      <c r="N101" s="82">
        <v>0</v>
      </c>
      <c r="O101" s="178">
        <f t="shared" ref="O101:O113" si="41">+E101-F101+G101-H101+I101-J101+K101-L101+M101</f>
        <v>0</v>
      </c>
      <c r="P101" s="376"/>
    </row>
    <row r="102" spans="3:16" ht="14.25" customHeight="1">
      <c r="C102" s="19">
        <v>251102</v>
      </c>
      <c r="D102" s="20" t="s">
        <v>40</v>
      </c>
      <c r="E102" s="79">
        <v>63059552</v>
      </c>
      <c r="F102" s="79">
        <v>63059552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66925211</v>
      </c>
      <c r="N102" s="82">
        <v>0</v>
      </c>
      <c r="O102" s="178">
        <f t="shared" si="41"/>
        <v>66925211</v>
      </c>
      <c r="P102" s="39"/>
    </row>
    <row r="103" spans="3:16" ht="14.25" customHeight="1">
      <c r="C103" s="19">
        <v>251103</v>
      </c>
      <c r="D103" s="20" t="s">
        <v>78</v>
      </c>
      <c r="E103" s="79">
        <v>7562800</v>
      </c>
      <c r="F103" s="79">
        <v>7562800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8031025</v>
      </c>
      <c r="N103" s="82">
        <v>0</v>
      </c>
      <c r="O103" s="178">
        <f t="shared" si="41"/>
        <v>8031025</v>
      </c>
      <c r="P103" s="39"/>
    </row>
    <row r="104" spans="3:16" ht="14.25" customHeight="1">
      <c r="C104" s="19">
        <v>251104</v>
      </c>
      <c r="D104" s="20" t="s">
        <v>75</v>
      </c>
      <c r="E104" s="79">
        <v>2818436</v>
      </c>
      <c r="F104" s="79">
        <v>11794670</v>
      </c>
      <c r="G104" s="79">
        <v>8976234</v>
      </c>
      <c r="H104" s="79">
        <v>15024848</v>
      </c>
      <c r="I104" s="79">
        <v>15024848</v>
      </c>
      <c r="J104" s="79">
        <v>17775616</v>
      </c>
      <c r="K104" s="79">
        <v>17775616</v>
      </c>
      <c r="L104" s="79">
        <v>0</v>
      </c>
      <c r="M104" s="79">
        <v>0</v>
      </c>
      <c r="N104" s="82">
        <v>0</v>
      </c>
      <c r="O104" s="178">
        <f t="shared" si="41"/>
        <v>0</v>
      </c>
      <c r="P104" s="39"/>
    </row>
    <row r="105" spans="3:16" s="136" customFormat="1" ht="14.25" customHeight="1">
      <c r="C105" s="19">
        <v>251105</v>
      </c>
      <c r="D105" s="20" t="s">
        <v>125</v>
      </c>
      <c r="E105" s="79">
        <v>2818436</v>
      </c>
      <c r="F105" s="79">
        <v>8044469</v>
      </c>
      <c r="G105" s="79">
        <v>5226033</v>
      </c>
      <c r="H105" s="79">
        <v>10134016</v>
      </c>
      <c r="I105" s="79">
        <v>10134016</v>
      </c>
      <c r="J105" s="79">
        <v>10665369</v>
      </c>
      <c r="K105" s="79">
        <v>10665369</v>
      </c>
      <c r="L105" s="79">
        <v>0</v>
      </c>
      <c r="M105" s="79">
        <v>0</v>
      </c>
      <c r="N105" s="82">
        <v>0</v>
      </c>
      <c r="O105" s="178">
        <f t="shared" si="41"/>
        <v>0</v>
      </c>
      <c r="P105" s="379"/>
    </row>
    <row r="106" spans="3:16" s="134" customFormat="1" ht="14.25" customHeight="1">
      <c r="C106" s="19">
        <v>251106</v>
      </c>
      <c r="D106" s="20" t="s">
        <v>80</v>
      </c>
      <c r="E106" s="79">
        <v>0</v>
      </c>
      <c r="F106" s="79">
        <v>0</v>
      </c>
      <c r="G106" s="79">
        <v>0</v>
      </c>
      <c r="H106" s="79">
        <v>29175504</v>
      </c>
      <c r="I106" s="79">
        <v>29175504</v>
      </c>
      <c r="J106" s="79">
        <v>0</v>
      </c>
      <c r="K106" s="79">
        <v>0</v>
      </c>
      <c r="L106" s="79">
        <v>0</v>
      </c>
      <c r="M106" s="79">
        <v>0</v>
      </c>
      <c r="N106" s="82">
        <v>0</v>
      </c>
      <c r="O106" s="178">
        <f t="shared" si="41"/>
        <v>0</v>
      </c>
      <c r="P106" s="377"/>
    </row>
    <row r="107" spans="3:16" s="133" customFormat="1" ht="14.25" customHeight="1">
      <c r="C107" s="19">
        <v>251107</v>
      </c>
      <c r="D107" s="20" t="s">
        <v>74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61793917</v>
      </c>
      <c r="M107" s="79">
        <v>61793917</v>
      </c>
      <c r="N107" s="82">
        <v>0</v>
      </c>
      <c r="O107" s="178">
        <f t="shared" si="41"/>
        <v>0</v>
      </c>
      <c r="P107" s="376"/>
    </row>
    <row r="108" spans="3:16" s="133" customFormat="1" ht="14.25" customHeight="1">
      <c r="C108" s="19">
        <v>251108</v>
      </c>
      <c r="D108" s="20" t="s">
        <v>48</v>
      </c>
      <c r="E108" s="79">
        <v>0</v>
      </c>
      <c r="F108" s="79">
        <v>35954053</v>
      </c>
      <c r="G108" s="79">
        <v>35954053</v>
      </c>
      <c r="H108" s="79">
        <v>4136307</v>
      </c>
      <c r="I108" s="79">
        <v>4136307</v>
      </c>
      <c r="J108" s="79">
        <v>0</v>
      </c>
      <c r="K108" s="79">
        <v>0</v>
      </c>
      <c r="L108" s="79">
        <v>0</v>
      </c>
      <c r="M108" s="79">
        <v>0</v>
      </c>
      <c r="N108" s="82">
        <v>0</v>
      </c>
      <c r="O108" s="178">
        <f t="shared" ref="O108" si="42">+E108-F108+G108-H108+I108-J108+K108-L108+M108</f>
        <v>0</v>
      </c>
      <c r="P108" s="376"/>
    </row>
    <row r="109" spans="3:16" s="133" customFormat="1" ht="14.25" customHeight="1">
      <c r="C109" s="19">
        <v>251109</v>
      </c>
      <c r="D109" s="20" t="s">
        <v>186</v>
      </c>
      <c r="E109" s="79">
        <v>2254604</v>
      </c>
      <c r="F109" s="79">
        <v>6350092</v>
      </c>
      <c r="G109" s="79">
        <v>4095488</v>
      </c>
      <c r="H109" s="79">
        <v>7314164</v>
      </c>
      <c r="I109" s="79">
        <v>7314164</v>
      </c>
      <c r="J109" s="79">
        <v>8513774</v>
      </c>
      <c r="K109" s="79">
        <v>8513774</v>
      </c>
      <c r="L109" s="79">
        <v>0</v>
      </c>
      <c r="M109" s="79">
        <v>0</v>
      </c>
      <c r="N109" s="82"/>
      <c r="O109" s="178">
        <f t="shared" si="41"/>
        <v>0</v>
      </c>
      <c r="P109" s="376"/>
    </row>
    <row r="110" spans="3:16" s="133" customFormat="1" ht="14.25" customHeight="1">
      <c r="C110" s="19">
        <v>251111</v>
      </c>
      <c r="D110" s="21" t="s">
        <v>233</v>
      </c>
      <c r="E110" s="79">
        <v>0</v>
      </c>
      <c r="F110" s="79">
        <v>3532600</v>
      </c>
      <c r="G110" s="79">
        <v>3532600</v>
      </c>
      <c r="H110" s="79">
        <v>4086600</v>
      </c>
      <c r="I110" s="79">
        <v>4086600</v>
      </c>
      <c r="J110" s="79">
        <v>4086600</v>
      </c>
      <c r="K110" s="79">
        <v>4086600</v>
      </c>
      <c r="L110" s="79">
        <v>4086600</v>
      </c>
      <c r="M110" s="79">
        <v>4086600</v>
      </c>
      <c r="N110" s="82"/>
      <c r="O110" s="178">
        <f t="shared" si="41"/>
        <v>0</v>
      </c>
      <c r="P110" s="376"/>
    </row>
    <row r="111" spans="3:16" s="133" customFormat="1" ht="14.25" customHeight="1">
      <c r="C111" s="19">
        <v>251122</v>
      </c>
      <c r="D111" s="21" t="s">
        <v>15</v>
      </c>
      <c r="E111" s="79">
        <v>0</v>
      </c>
      <c r="F111" s="79">
        <v>28332699</v>
      </c>
      <c r="G111" s="79">
        <v>28332699</v>
      </c>
      <c r="H111" s="79">
        <v>28226100</v>
      </c>
      <c r="I111" s="79">
        <v>28226100</v>
      </c>
      <c r="J111" s="79">
        <v>28226100</v>
      </c>
      <c r="K111" s="79">
        <v>28226100</v>
      </c>
      <c r="L111" s="79">
        <v>28226100.000000007</v>
      </c>
      <c r="M111" s="79">
        <v>28226100</v>
      </c>
      <c r="N111" s="82"/>
      <c r="O111" s="178">
        <f t="shared" si="41"/>
        <v>0</v>
      </c>
      <c r="P111" s="376"/>
    </row>
    <row r="112" spans="3:16" s="133" customFormat="1" ht="14.25" customHeight="1">
      <c r="C112" s="19">
        <v>251123</v>
      </c>
      <c r="D112" s="21" t="s">
        <v>16</v>
      </c>
      <c r="E112" s="79">
        <v>0</v>
      </c>
      <c r="F112" s="79">
        <v>21024900</v>
      </c>
      <c r="G112" s="79">
        <v>21024900</v>
      </c>
      <c r="H112" s="79">
        <v>20962200</v>
      </c>
      <c r="I112" s="79">
        <v>20962200</v>
      </c>
      <c r="J112" s="79">
        <v>20962200</v>
      </c>
      <c r="K112" s="79">
        <v>20962200</v>
      </c>
      <c r="L112" s="79">
        <v>20962200</v>
      </c>
      <c r="M112" s="79">
        <v>20962200</v>
      </c>
      <c r="N112" s="82"/>
      <c r="O112" s="178">
        <f t="shared" si="41"/>
        <v>0</v>
      </c>
      <c r="P112" s="376"/>
    </row>
    <row r="113" spans="1:55" s="133" customFormat="1" ht="14.25" customHeight="1">
      <c r="C113" s="19">
        <v>251124</v>
      </c>
      <c r="D113" s="21" t="s">
        <v>17</v>
      </c>
      <c r="E113" s="79">
        <v>0</v>
      </c>
      <c r="F113" s="79">
        <v>6563700</v>
      </c>
      <c r="G113" s="79">
        <v>6563700</v>
      </c>
      <c r="H113" s="79">
        <v>6709200</v>
      </c>
      <c r="I113" s="79">
        <v>6709200</v>
      </c>
      <c r="J113" s="79">
        <v>6709200</v>
      </c>
      <c r="K113" s="79">
        <v>6709200</v>
      </c>
      <c r="L113" s="79">
        <v>6709200</v>
      </c>
      <c r="M113" s="79">
        <v>6709200</v>
      </c>
      <c r="N113" s="82"/>
      <c r="O113" s="178">
        <f t="shared" si="41"/>
        <v>0</v>
      </c>
      <c r="P113" s="376"/>
    </row>
    <row r="114" spans="1:55" s="34" customFormat="1" ht="14.25" customHeight="1">
      <c r="C114" s="15">
        <v>27</v>
      </c>
      <c r="D114" s="16" t="s">
        <v>126</v>
      </c>
      <c r="E114" s="85">
        <f>+E115</f>
        <v>0</v>
      </c>
      <c r="F114" s="86">
        <f>F115</f>
        <v>0</v>
      </c>
      <c r="G114" s="86">
        <f>G115</f>
        <v>0</v>
      </c>
      <c r="H114" s="86">
        <v>0</v>
      </c>
      <c r="I114" s="86">
        <v>0</v>
      </c>
      <c r="J114" s="86">
        <f t="shared" ref="J114:O114" si="43">+J115</f>
        <v>0</v>
      </c>
      <c r="K114" s="86">
        <f t="shared" si="43"/>
        <v>0</v>
      </c>
      <c r="L114" s="270">
        <f t="shared" si="43"/>
        <v>0</v>
      </c>
      <c r="M114" s="270">
        <f t="shared" si="43"/>
        <v>0</v>
      </c>
      <c r="N114" s="86">
        <f t="shared" si="43"/>
        <v>0</v>
      </c>
      <c r="O114" s="179">
        <f t="shared" si="43"/>
        <v>0</v>
      </c>
      <c r="P114" s="374"/>
    </row>
    <row r="115" spans="1:55" s="35" customFormat="1" ht="14.25" customHeight="1">
      <c r="C115" s="17">
        <v>2715</v>
      </c>
      <c r="D115" s="18" t="s">
        <v>127</v>
      </c>
      <c r="E115" s="85">
        <f>+E116+E117</f>
        <v>0</v>
      </c>
      <c r="F115" s="86">
        <f t="shared" ref="F115:O115" si="44">SUM(F116:F117)</f>
        <v>0</v>
      </c>
      <c r="G115" s="86">
        <f t="shared" si="44"/>
        <v>0</v>
      </c>
      <c r="H115" s="86">
        <f t="shared" si="44"/>
        <v>0</v>
      </c>
      <c r="I115" s="86">
        <f t="shared" si="44"/>
        <v>0</v>
      </c>
      <c r="J115" s="86">
        <f t="shared" si="44"/>
        <v>0</v>
      </c>
      <c r="K115" s="86">
        <f t="shared" si="44"/>
        <v>0</v>
      </c>
      <c r="L115" s="270">
        <f t="shared" si="44"/>
        <v>0</v>
      </c>
      <c r="M115" s="270">
        <f t="shared" si="44"/>
        <v>0</v>
      </c>
      <c r="N115" s="86">
        <f t="shared" si="44"/>
        <v>0</v>
      </c>
      <c r="O115" s="179">
        <f t="shared" si="44"/>
        <v>0</v>
      </c>
      <c r="P115" s="375"/>
    </row>
    <row r="116" spans="1:55" s="136" customFormat="1" ht="14.25" customHeight="1">
      <c r="C116" s="19">
        <v>270105</v>
      </c>
      <c r="D116" s="20" t="s">
        <v>203</v>
      </c>
      <c r="E116" s="79">
        <v>0</v>
      </c>
      <c r="F116" s="79">
        <v>0</v>
      </c>
      <c r="G116" s="83">
        <v>0</v>
      </c>
      <c r="H116" s="83">
        <v>0</v>
      </c>
      <c r="I116" s="82">
        <v>0</v>
      </c>
      <c r="J116" s="82">
        <v>0</v>
      </c>
      <c r="K116" s="83">
        <v>0</v>
      </c>
      <c r="L116" s="267">
        <v>0</v>
      </c>
      <c r="M116" s="269">
        <v>0</v>
      </c>
      <c r="N116" s="82">
        <v>0</v>
      </c>
      <c r="O116" s="178">
        <f t="shared" ref="O116:O117" si="45">+E116-F116+G116-H116+I116-J116+K116-L116+M116</f>
        <v>0</v>
      </c>
      <c r="P116" s="379"/>
    </row>
    <row r="117" spans="1:55" s="35" customFormat="1" ht="14.25" customHeight="1">
      <c r="C117" s="19">
        <v>271506</v>
      </c>
      <c r="D117" s="20" t="s">
        <v>73</v>
      </c>
      <c r="E117" s="79">
        <v>0</v>
      </c>
      <c r="F117" s="83">
        <v>0</v>
      </c>
      <c r="G117" s="83">
        <v>0</v>
      </c>
      <c r="H117" s="83">
        <v>0</v>
      </c>
      <c r="I117" s="82">
        <v>0</v>
      </c>
      <c r="J117" s="82">
        <v>0</v>
      </c>
      <c r="K117" s="83">
        <f>E117+G117+I117-F117-H117</f>
        <v>0</v>
      </c>
      <c r="L117" s="267">
        <v>0</v>
      </c>
      <c r="M117" s="269">
        <f>G117+I117+K117-H117-J117</f>
        <v>0</v>
      </c>
      <c r="N117" s="82">
        <v>0</v>
      </c>
      <c r="O117" s="178">
        <f t="shared" si="45"/>
        <v>0</v>
      </c>
      <c r="P117" s="375"/>
    </row>
    <row r="118" spans="1:55" s="49" customFormat="1" ht="14.25" customHeight="1">
      <c r="A118" s="2"/>
      <c r="B118" s="2"/>
      <c r="C118" s="57">
        <v>3</v>
      </c>
      <c r="D118" s="58" t="s">
        <v>43</v>
      </c>
      <c r="E118" s="88">
        <f>+E119</f>
        <v>11637136953.121111</v>
      </c>
      <c r="F118" s="88">
        <f>+F119</f>
        <v>0</v>
      </c>
      <c r="G118" s="88">
        <f t="shared" ref="G118:N118" si="46">+G119</f>
        <v>0</v>
      </c>
      <c r="H118" s="88">
        <f t="shared" si="46"/>
        <v>0</v>
      </c>
      <c r="I118" s="88">
        <f t="shared" si="46"/>
        <v>0</v>
      </c>
      <c r="J118" s="190">
        <f t="shared" si="46"/>
        <v>0</v>
      </c>
      <c r="K118" s="191">
        <f t="shared" si="46"/>
        <v>0</v>
      </c>
      <c r="L118" s="190">
        <f t="shared" si="46"/>
        <v>25312801</v>
      </c>
      <c r="M118" s="191">
        <f>+M119</f>
        <v>0</v>
      </c>
      <c r="N118" s="190">
        <f t="shared" si="46"/>
        <v>0</v>
      </c>
      <c r="O118" s="182">
        <f>+O119</f>
        <v>11611824152.121111</v>
      </c>
      <c r="P118" s="37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</row>
    <row r="119" spans="1:55" s="34" customFormat="1" ht="14.25" customHeight="1">
      <c r="C119" s="15">
        <v>32</v>
      </c>
      <c r="D119" s="16" t="s">
        <v>128</v>
      </c>
      <c r="E119" s="85">
        <f t="shared" ref="E119:O119" si="47">+E120+E124+E127</f>
        <v>11637136953.121111</v>
      </c>
      <c r="F119" s="86">
        <f t="shared" si="47"/>
        <v>0</v>
      </c>
      <c r="G119" s="86">
        <f t="shared" si="47"/>
        <v>0</v>
      </c>
      <c r="H119" s="86">
        <f t="shared" si="47"/>
        <v>0</v>
      </c>
      <c r="I119" s="86">
        <f t="shared" si="47"/>
        <v>0</v>
      </c>
      <c r="J119" s="86">
        <f t="shared" ref="J119:K119" si="48">+J120+J124+J127</f>
        <v>0</v>
      </c>
      <c r="K119" s="86">
        <f t="shared" si="48"/>
        <v>0</v>
      </c>
      <c r="L119" s="86">
        <f t="shared" si="47"/>
        <v>25312801</v>
      </c>
      <c r="M119" s="86">
        <f t="shared" si="47"/>
        <v>0</v>
      </c>
      <c r="N119" s="86">
        <f t="shared" si="47"/>
        <v>0</v>
      </c>
      <c r="O119" s="179">
        <f t="shared" si="47"/>
        <v>11611824152.121111</v>
      </c>
      <c r="P119" s="37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</row>
    <row r="120" spans="1:55" s="35" customFormat="1" ht="14.25" customHeight="1">
      <c r="C120" s="17">
        <v>3204</v>
      </c>
      <c r="D120" s="18" t="s">
        <v>45</v>
      </c>
      <c r="E120" s="85">
        <f>+E121+E122+E123</f>
        <v>132494500</v>
      </c>
      <c r="F120" s="86">
        <f t="shared" ref="F120:O120" si="49">SUM(F121:F123)</f>
        <v>0</v>
      </c>
      <c r="G120" s="86">
        <f t="shared" si="49"/>
        <v>0</v>
      </c>
      <c r="H120" s="86">
        <f t="shared" si="49"/>
        <v>0</v>
      </c>
      <c r="I120" s="86">
        <f t="shared" si="49"/>
        <v>0</v>
      </c>
      <c r="J120" s="86">
        <f t="shared" ref="J120:K120" si="50">SUM(J121:J123)</f>
        <v>0</v>
      </c>
      <c r="K120" s="86">
        <f t="shared" si="50"/>
        <v>0</v>
      </c>
      <c r="L120" s="86">
        <f t="shared" si="49"/>
        <v>0</v>
      </c>
      <c r="M120" s="86">
        <f t="shared" si="49"/>
        <v>0</v>
      </c>
      <c r="N120" s="86">
        <f t="shared" si="49"/>
        <v>0</v>
      </c>
      <c r="O120" s="179">
        <f t="shared" si="49"/>
        <v>132494500</v>
      </c>
      <c r="P120" s="375"/>
    </row>
    <row r="121" spans="1:55" s="35" customFormat="1" ht="14.25" customHeight="1">
      <c r="C121" s="19">
        <v>320401</v>
      </c>
      <c r="D121" s="20" t="s">
        <v>47</v>
      </c>
      <c r="E121" s="79">
        <v>150000000</v>
      </c>
      <c r="F121" s="82">
        <v>0</v>
      </c>
      <c r="G121" s="82">
        <v>0</v>
      </c>
      <c r="H121" s="82">
        <v>0</v>
      </c>
      <c r="I121" s="82">
        <v>0</v>
      </c>
      <c r="J121" s="82">
        <v>0</v>
      </c>
      <c r="K121" s="83">
        <v>0</v>
      </c>
      <c r="L121" s="82">
        <v>0</v>
      </c>
      <c r="M121" s="83">
        <v>0</v>
      </c>
      <c r="N121" s="82">
        <v>0</v>
      </c>
      <c r="O121" s="178">
        <f>+E121-F121+G121-H121+I121-J121+K121-L121+M121</f>
        <v>150000000</v>
      </c>
      <c r="P121" s="375"/>
    </row>
    <row r="122" spans="1:55" ht="14.25" customHeight="1">
      <c r="C122" s="19">
        <v>320402</v>
      </c>
      <c r="D122" s="20" t="s">
        <v>49</v>
      </c>
      <c r="E122" s="79">
        <v>-10500000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  <c r="K122" s="83">
        <v>0</v>
      </c>
      <c r="L122" s="82">
        <v>0</v>
      </c>
      <c r="M122" s="83">
        <v>0</v>
      </c>
      <c r="N122" s="82">
        <v>0</v>
      </c>
      <c r="O122" s="178">
        <f t="shared" ref="O122:O123" si="51">+E122-F122+G122-H122+I122-J122+K122-L122+M122</f>
        <v>-10500000</v>
      </c>
      <c r="P122" s="37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</row>
    <row r="123" spans="1:55" s="35" customFormat="1" ht="14.25" customHeight="1">
      <c r="C123" s="19">
        <v>320403</v>
      </c>
      <c r="D123" s="20" t="s">
        <v>50</v>
      </c>
      <c r="E123" s="79">
        <v>-7005500</v>
      </c>
      <c r="F123" s="82">
        <v>0</v>
      </c>
      <c r="G123" s="82">
        <v>0</v>
      </c>
      <c r="H123" s="82">
        <v>0</v>
      </c>
      <c r="I123" s="82">
        <v>0</v>
      </c>
      <c r="J123" s="82">
        <v>0</v>
      </c>
      <c r="K123" s="83">
        <v>0</v>
      </c>
      <c r="L123" s="82">
        <v>0</v>
      </c>
      <c r="M123" s="83">
        <v>0</v>
      </c>
      <c r="N123" s="82">
        <v>0</v>
      </c>
      <c r="O123" s="178">
        <f t="shared" si="51"/>
        <v>-7005500</v>
      </c>
      <c r="P123" s="375"/>
    </row>
    <row r="124" spans="1:55" s="35" customFormat="1" ht="14.25" customHeight="1">
      <c r="C124" s="17">
        <v>3230</v>
      </c>
      <c r="D124" s="18" t="s">
        <v>51</v>
      </c>
      <c r="E124" s="85">
        <f>+E126+E125</f>
        <v>11424781977.121111</v>
      </c>
      <c r="F124" s="86">
        <f t="shared" ref="F124:O124" si="52">SUM(F125:F126)</f>
        <v>0</v>
      </c>
      <c r="G124" s="86">
        <f t="shared" si="52"/>
        <v>0</v>
      </c>
      <c r="H124" s="86">
        <f t="shared" si="52"/>
        <v>0</v>
      </c>
      <c r="I124" s="86">
        <f t="shared" si="52"/>
        <v>0</v>
      </c>
      <c r="J124" s="86">
        <f t="shared" si="52"/>
        <v>0</v>
      </c>
      <c r="K124" s="86">
        <f t="shared" si="52"/>
        <v>0</v>
      </c>
      <c r="L124" s="86">
        <f t="shared" si="52"/>
        <v>25312801</v>
      </c>
      <c r="M124" s="86">
        <f t="shared" si="52"/>
        <v>0</v>
      </c>
      <c r="N124" s="86">
        <f t="shared" si="52"/>
        <v>0</v>
      </c>
      <c r="O124" s="179">
        <f t="shared" si="52"/>
        <v>11399469176.121111</v>
      </c>
      <c r="P124" s="375"/>
    </row>
    <row r="125" spans="1:55" s="35" customFormat="1" ht="14.25" customHeight="1">
      <c r="C125" s="19">
        <v>323001</v>
      </c>
      <c r="D125" s="20" t="s">
        <v>129</v>
      </c>
      <c r="E125" s="79">
        <v>10719290204.531111</v>
      </c>
      <c r="F125" s="82">
        <v>0</v>
      </c>
      <c r="G125" s="82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25312801</v>
      </c>
      <c r="M125" s="79">
        <v>0</v>
      </c>
      <c r="N125" s="82">
        <v>0</v>
      </c>
      <c r="O125" s="178">
        <f t="shared" ref="O125" si="53">+E125-F125+G125-H125+I125-J125+K125-L125+M125</f>
        <v>10693977403.531111</v>
      </c>
      <c r="P125" s="375"/>
    </row>
    <row r="126" spans="1:55" ht="14.25" customHeight="1">
      <c r="C126" s="19">
        <v>323002</v>
      </c>
      <c r="D126" s="20" t="s">
        <v>130</v>
      </c>
      <c r="E126" s="79">
        <v>705491772.59000015</v>
      </c>
      <c r="F126" s="82">
        <v>0</v>
      </c>
      <c r="G126" s="82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82">
        <v>0</v>
      </c>
      <c r="O126" s="178">
        <f>+E126-F126+G126-H126+I126-J126+K126-L126+M126</f>
        <v>705491772.59000015</v>
      </c>
      <c r="P126" s="37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</row>
    <row r="127" spans="1:55" s="35" customFormat="1" ht="14.25" customHeight="1">
      <c r="C127" s="17">
        <v>3255</v>
      </c>
      <c r="D127" s="18" t="s">
        <v>52</v>
      </c>
      <c r="E127" s="85">
        <f>+E128</f>
        <v>79860476</v>
      </c>
      <c r="F127" s="86">
        <f>+F128</f>
        <v>0</v>
      </c>
      <c r="G127" s="86">
        <f t="shared" ref="G127:O127" si="54">+G128</f>
        <v>0</v>
      </c>
      <c r="H127" s="86">
        <f t="shared" si="54"/>
        <v>0</v>
      </c>
      <c r="I127" s="86">
        <f t="shared" si="54"/>
        <v>0</v>
      </c>
      <c r="J127" s="86">
        <f t="shared" si="54"/>
        <v>0</v>
      </c>
      <c r="K127" s="86">
        <f t="shared" si="54"/>
        <v>0</v>
      </c>
      <c r="L127" s="86">
        <f t="shared" si="54"/>
        <v>0</v>
      </c>
      <c r="M127" s="86">
        <f t="shared" si="54"/>
        <v>0</v>
      </c>
      <c r="N127" s="86">
        <f t="shared" si="54"/>
        <v>0</v>
      </c>
      <c r="O127" s="179">
        <f t="shared" si="54"/>
        <v>79860476</v>
      </c>
      <c r="P127" s="375"/>
    </row>
    <row r="128" spans="1:55" ht="14.25" customHeight="1">
      <c r="C128" s="19">
        <v>325525</v>
      </c>
      <c r="D128" s="20" t="s">
        <v>53</v>
      </c>
      <c r="E128" s="79">
        <v>79860476</v>
      </c>
      <c r="F128" s="82">
        <v>0</v>
      </c>
      <c r="G128" s="82">
        <v>0</v>
      </c>
      <c r="H128" s="82">
        <v>0</v>
      </c>
      <c r="I128" s="82">
        <v>0</v>
      </c>
      <c r="J128" s="82">
        <v>0</v>
      </c>
      <c r="K128" s="83">
        <v>0</v>
      </c>
      <c r="L128" s="82">
        <v>0</v>
      </c>
      <c r="M128" s="83">
        <v>0</v>
      </c>
      <c r="N128" s="82">
        <v>0</v>
      </c>
      <c r="O128" s="178">
        <f>+E128-F128+G128-H128+I128-J128+K128-L128+M128</f>
        <v>79860476</v>
      </c>
      <c r="P128" s="37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</row>
    <row r="129" spans="1:55" s="49" customFormat="1" ht="14.25" customHeight="1">
      <c r="A129" s="2"/>
      <c r="B129" s="2"/>
      <c r="C129" s="57">
        <v>4</v>
      </c>
      <c r="D129" s="58" t="s">
        <v>58</v>
      </c>
      <c r="E129" s="88">
        <f>E130+E133+E137</f>
        <v>0</v>
      </c>
      <c r="F129" s="88">
        <f t="shared" ref="F129:O129" si="55">F130+F133+F137</f>
        <v>0</v>
      </c>
      <c r="G129" s="88">
        <f t="shared" si="55"/>
        <v>35954153</v>
      </c>
      <c r="H129" s="88">
        <f t="shared" si="55"/>
        <v>0</v>
      </c>
      <c r="I129" s="88">
        <f t="shared" si="55"/>
        <v>4136402</v>
      </c>
      <c r="J129" s="88">
        <f t="shared" si="55"/>
        <v>0</v>
      </c>
      <c r="K129" s="88">
        <f t="shared" si="55"/>
        <v>408207</v>
      </c>
      <c r="L129" s="190">
        <f t="shared" si="55"/>
        <v>0</v>
      </c>
      <c r="M129" s="190">
        <f t="shared" si="55"/>
        <v>83984872.900000006</v>
      </c>
      <c r="N129" s="88">
        <f t="shared" si="55"/>
        <v>0</v>
      </c>
      <c r="O129" s="380">
        <f t="shared" si="55"/>
        <v>124483634.90000001</v>
      </c>
      <c r="P129" s="37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</row>
    <row r="130" spans="1:55" ht="14.25" customHeight="1">
      <c r="C130" s="15">
        <v>41</v>
      </c>
      <c r="D130" s="16" t="s">
        <v>266</v>
      </c>
      <c r="E130" s="85">
        <f>+E131</f>
        <v>0</v>
      </c>
      <c r="F130" s="85">
        <f t="shared" ref="F130:O131" si="56">+F131</f>
        <v>0</v>
      </c>
      <c r="G130" s="85">
        <f t="shared" si="56"/>
        <v>0</v>
      </c>
      <c r="H130" s="85">
        <f t="shared" si="56"/>
        <v>0</v>
      </c>
      <c r="I130" s="85">
        <f t="shared" si="56"/>
        <v>0</v>
      </c>
      <c r="J130" s="85">
        <f t="shared" si="56"/>
        <v>0</v>
      </c>
      <c r="K130" s="85">
        <f t="shared" si="56"/>
        <v>0</v>
      </c>
      <c r="L130" s="85">
        <f t="shared" si="56"/>
        <v>0</v>
      </c>
      <c r="M130" s="85">
        <f t="shared" si="56"/>
        <v>0</v>
      </c>
      <c r="N130" s="85">
        <f t="shared" si="56"/>
        <v>0</v>
      </c>
      <c r="O130" s="181">
        <f t="shared" si="56"/>
        <v>0</v>
      </c>
      <c r="P130" s="37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</row>
    <row r="131" spans="1:55" ht="14.25" customHeight="1">
      <c r="C131" s="17">
        <v>4195</v>
      </c>
      <c r="D131" s="18" t="s">
        <v>264</v>
      </c>
      <c r="E131" s="85">
        <f>+E132</f>
        <v>0</v>
      </c>
      <c r="F131" s="85">
        <f t="shared" si="56"/>
        <v>0</v>
      </c>
      <c r="G131" s="85">
        <f t="shared" si="56"/>
        <v>0</v>
      </c>
      <c r="H131" s="85">
        <f t="shared" si="56"/>
        <v>0</v>
      </c>
      <c r="I131" s="85">
        <f t="shared" si="56"/>
        <v>0</v>
      </c>
      <c r="J131" s="85">
        <f t="shared" si="56"/>
        <v>0</v>
      </c>
      <c r="K131" s="85">
        <f t="shared" si="56"/>
        <v>0</v>
      </c>
      <c r="L131" s="85">
        <f t="shared" si="56"/>
        <v>0</v>
      </c>
      <c r="M131" s="85">
        <f t="shared" si="56"/>
        <v>0</v>
      </c>
      <c r="N131" s="85">
        <f t="shared" si="56"/>
        <v>0</v>
      </c>
      <c r="O131" s="181">
        <f t="shared" si="56"/>
        <v>0</v>
      </c>
      <c r="P131" s="37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</row>
    <row r="132" spans="1:55" ht="14.25" customHeight="1">
      <c r="C132" s="19">
        <v>419502</v>
      </c>
      <c r="D132" s="20" t="s">
        <v>265</v>
      </c>
      <c r="E132" s="79"/>
      <c r="F132" s="79"/>
      <c r="G132" s="79"/>
      <c r="H132" s="79"/>
      <c r="I132" s="79"/>
      <c r="J132" s="79"/>
      <c r="K132" s="79"/>
      <c r="L132" s="79">
        <v>0</v>
      </c>
      <c r="M132" s="79"/>
      <c r="N132" s="79"/>
      <c r="O132" s="178">
        <f>+E132-F132+G132-H132+I132-J132+K132-L132+M132</f>
        <v>0</v>
      </c>
      <c r="P132" s="37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</row>
    <row r="133" spans="1:55" s="34" customFormat="1" ht="14.25" customHeight="1">
      <c r="C133" s="15">
        <v>44</v>
      </c>
      <c r="D133" s="16" t="s">
        <v>60</v>
      </c>
      <c r="E133" s="85">
        <f>+E134</f>
        <v>0</v>
      </c>
      <c r="F133" s="86">
        <f>+F134</f>
        <v>0</v>
      </c>
      <c r="G133" s="86">
        <f t="shared" ref="G133:N133" si="57">+G134</f>
        <v>0</v>
      </c>
      <c r="H133" s="86">
        <f t="shared" si="57"/>
        <v>0</v>
      </c>
      <c r="I133" s="86">
        <f t="shared" si="57"/>
        <v>0</v>
      </c>
      <c r="J133" s="86">
        <f t="shared" si="57"/>
        <v>0</v>
      </c>
      <c r="K133" s="86">
        <f t="shared" si="57"/>
        <v>0</v>
      </c>
      <c r="L133" s="86">
        <f t="shared" si="57"/>
        <v>0</v>
      </c>
      <c r="M133" s="86">
        <f>+M134</f>
        <v>0</v>
      </c>
      <c r="N133" s="86">
        <f t="shared" si="57"/>
        <v>0</v>
      </c>
      <c r="O133" s="179">
        <f>+O134</f>
        <v>0</v>
      </c>
      <c r="P133" s="37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</row>
    <row r="134" spans="1:55" s="34" customFormat="1" ht="14.25" customHeight="1">
      <c r="C134" s="17">
        <v>4428</v>
      </c>
      <c r="D134" s="18" t="s">
        <v>61</v>
      </c>
      <c r="E134" s="85">
        <f t="shared" ref="E134:N134" si="58">+E135+E136</f>
        <v>0</v>
      </c>
      <c r="F134" s="81">
        <f t="shared" si="58"/>
        <v>0</v>
      </c>
      <c r="G134" s="81">
        <f t="shared" si="58"/>
        <v>0</v>
      </c>
      <c r="H134" s="120">
        <f t="shared" si="58"/>
        <v>0</v>
      </c>
      <c r="I134" s="81">
        <f t="shared" si="58"/>
        <v>0</v>
      </c>
      <c r="J134" s="81">
        <f t="shared" ref="J134:K134" si="59">+J135+J136</f>
        <v>0</v>
      </c>
      <c r="K134" s="81">
        <f t="shared" si="59"/>
        <v>0</v>
      </c>
      <c r="L134" s="81">
        <f t="shared" si="58"/>
        <v>0</v>
      </c>
      <c r="M134" s="81">
        <f t="shared" si="58"/>
        <v>0</v>
      </c>
      <c r="N134" s="81">
        <f t="shared" si="58"/>
        <v>0</v>
      </c>
      <c r="O134" s="179">
        <f>O135+O136</f>
        <v>0</v>
      </c>
      <c r="P134" s="374"/>
    </row>
    <row r="135" spans="1:55" s="35" customFormat="1" ht="14.25" customHeight="1">
      <c r="C135" s="19">
        <v>442802</v>
      </c>
      <c r="D135" s="20" t="s">
        <v>62</v>
      </c>
      <c r="E135" s="79">
        <v>0</v>
      </c>
      <c r="F135" s="82">
        <v>0</v>
      </c>
      <c r="G135" s="82">
        <v>0</v>
      </c>
      <c r="H135" s="86"/>
      <c r="I135" s="82">
        <v>0</v>
      </c>
      <c r="J135" s="83">
        <v>0</v>
      </c>
      <c r="K135" s="83">
        <v>0</v>
      </c>
      <c r="L135" s="83">
        <v>0</v>
      </c>
      <c r="M135" s="83">
        <v>0</v>
      </c>
      <c r="N135" s="83">
        <v>0</v>
      </c>
      <c r="O135" s="178">
        <f>G135+I135+K135-L135+M135-J135-F135</f>
        <v>0</v>
      </c>
      <c r="P135" s="375"/>
    </row>
    <row r="136" spans="1:55" ht="14.25" customHeight="1">
      <c r="C136" s="19">
        <v>442803</v>
      </c>
      <c r="D136" s="20" t="s">
        <v>63</v>
      </c>
      <c r="E136" s="79">
        <v>0</v>
      </c>
      <c r="F136" s="82">
        <v>0</v>
      </c>
      <c r="G136" s="82">
        <v>0</v>
      </c>
      <c r="H136" s="83">
        <v>0</v>
      </c>
      <c r="I136" s="83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178">
        <f>G136+I136+K136+M136</f>
        <v>0</v>
      </c>
      <c r="P136" s="39"/>
    </row>
    <row r="137" spans="1:55" s="34" customFormat="1" ht="14.25" customHeight="1">
      <c r="C137" s="15">
        <v>48</v>
      </c>
      <c r="D137" s="16" t="s">
        <v>64</v>
      </c>
      <c r="E137" s="85">
        <f t="shared" ref="E137:H137" si="60">+E138+E142</f>
        <v>0</v>
      </c>
      <c r="F137" s="86">
        <f t="shared" si="60"/>
        <v>0</v>
      </c>
      <c r="G137" s="86">
        <f>+G138+G142</f>
        <v>35954153</v>
      </c>
      <c r="H137" s="86">
        <f t="shared" si="60"/>
        <v>0</v>
      </c>
      <c r="I137" s="86">
        <f>+I138+I142</f>
        <v>4136402</v>
      </c>
      <c r="J137" s="86">
        <f t="shared" ref="J137" si="61">+J138+J142</f>
        <v>0</v>
      </c>
      <c r="K137" s="86">
        <f>+K138+K142</f>
        <v>408207</v>
      </c>
      <c r="L137" s="86">
        <f>+L138+L142</f>
        <v>0</v>
      </c>
      <c r="M137" s="86">
        <f>+M138+M142</f>
        <v>83984872.900000006</v>
      </c>
      <c r="N137" s="86">
        <f>+N138+N142</f>
        <v>0</v>
      </c>
      <c r="O137" s="179">
        <f>+O138+O142</f>
        <v>124483634.90000001</v>
      </c>
      <c r="P137" s="374"/>
    </row>
    <row r="138" spans="1:55" s="35" customFormat="1" ht="14.25" customHeight="1">
      <c r="C138" s="17">
        <v>4802</v>
      </c>
      <c r="D138" s="18" t="s">
        <v>65</v>
      </c>
      <c r="E138" s="85">
        <f>SUM(E139:E141)</f>
        <v>0</v>
      </c>
      <c r="F138" s="85">
        <f t="shared" ref="F138:N138" si="62">SUM(F139:F141)</f>
        <v>0</v>
      </c>
      <c r="G138" s="85">
        <f t="shared" si="62"/>
        <v>100</v>
      </c>
      <c r="H138" s="85">
        <f t="shared" si="62"/>
        <v>0</v>
      </c>
      <c r="I138" s="85">
        <f t="shared" si="62"/>
        <v>95</v>
      </c>
      <c r="J138" s="85">
        <f t="shared" si="62"/>
        <v>0</v>
      </c>
      <c r="K138" s="85">
        <f t="shared" si="62"/>
        <v>408207</v>
      </c>
      <c r="L138" s="85">
        <f t="shared" si="62"/>
        <v>0</v>
      </c>
      <c r="M138" s="85">
        <f t="shared" si="62"/>
        <v>218.89999999999998</v>
      </c>
      <c r="N138" s="85">
        <f t="shared" si="62"/>
        <v>0</v>
      </c>
      <c r="O138" s="178">
        <f>G138+I138+K138+M138</f>
        <v>408620.9</v>
      </c>
      <c r="P138" s="375"/>
    </row>
    <row r="139" spans="1:55" s="35" customFormat="1" ht="14.25" customHeight="1">
      <c r="C139" s="19">
        <v>480201</v>
      </c>
      <c r="D139" s="20" t="s">
        <v>66</v>
      </c>
      <c r="E139" s="79">
        <v>0</v>
      </c>
      <c r="F139" s="82">
        <v>0</v>
      </c>
      <c r="G139" s="79">
        <v>100</v>
      </c>
      <c r="H139" s="79">
        <v>0</v>
      </c>
      <c r="I139" s="79">
        <v>95</v>
      </c>
      <c r="J139" s="79">
        <v>0</v>
      </c>
      <c r="K139" s="79">
        <v>96</v>
      </c>
      <c r="L139" s="79">
        <v>0</v>
      </c>
      <c r="M139" s="79">
        <v>218.89999999999998</v>
      </c>
      <c r="N139" s="83">
        <v>0</v>
      </c>
      <c r="O139" s="178">
        <f>G139+I139+K139+M139</f>
        <v>509.9</v>
      </c>
      <c r="P139" s="375"/>
    </row>
    <row r="140" spans="1:55" s="35" customFormat="1" ht="14.25" customHeight="1">
      <c r="C140" s="19">
        <v>480223</v>
      </c>
      <c r="D140" s="20" t="s">
        <v>286</v>
      </c>
      <c r="E140" s="79">
        <v>0</v>
      </c>
      <c r="F140" s="79"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342950</v>
      </c>
      <c r="L140" s="79">
        <v>0</v>
      </c>
      <c r="M140" s="79">
        <v>0</v>
      </c>
      <c r="N140" s="79">
        <v>0</v>
      </c>
      <c r="O140" s="178">
        <f t="shared" ref="O140:O141" si="63">G140+I140+K140+M140</f>
        <v>342950</v>
      </c>
      <c r="P140" s="375"/>
    </row>
    <row r="141" spans="1:55" s="35" customFormat="1" ht="14.25" customHeight="1">
      <c r="C141" s="19">
        <v>480290</v>
      </c>
      <c r="D141" s="20" t="s">
        <v>287</v>
      </c>
      <c r="E141" s="79"/>
      <c r="F141" s="82"/>
      <c r="G141" s="79"/>
      <c r="H141" s="79"/>
      <c r="I141" s="79"/>
      <c r="J141" s="79"/>
      <c r="K141" s="79">
        <v>65161</v>
      </c>
      <c r="L141" s="79"/>
      <c r="M141" s="79"/>
      <c r="N141" s="83"/>
      <c r="O141" s="178">
        <f t="shared" si="63"/>
        <v>65161</v>
      </c>
      <c r="P141" s="375"/>
    </row>
    <row r="142" spans="1:55" s="34" customFormat="1" ht="14.25" customHeight="1">
      <c r="C142" s="17">
        <v>4808</v>
      </c>
      <c r="D142" s="18" t="s">
        <v>67</v>
      </c>
      <c r="E142" s="85">
        <f t="shared" ref="E142:O142" si="64">SUM(E143:E144)</f>
        <v>0</v>
      </c>
      <c r="F142" s="85">
        <f t="shared" si="64"/>
        <v>0</v>
      </c>
      <c r="G142" s="85">
        <f t="shared" si="64"/>
        <v>35954053</v>
      </c>
      <c r="H142" s="85">
        <f t="shared" si="64"/>
        <v>0</v>
      </c>
      <c r="I142" s="85">
        <f t="shared" si="64"/>
        <v>4136307</v>
      </c>
      <c r="J142" s="85">
        <f t="shared" si="64"/>
        <v>0</v>
      </c>
      <c r="K142" s="85">
        <f t="shared" si="64"/>
        <v>0</v>
      </c>
      <c r="L142" s="85">
        <f t="shared" si="64"/>
        <v>0</v>
      </c>
      <c r="M142" s="85">
        <f t="shared" si="64"/>
        <v>83984654</v>
      </c>
      <c r="N142" s="85">
        <f t="shared" si="64"/>
        <v>0</v>
      </c>
      <c r="O142" s="181">
        <f t="shared" si="64"/>
        <v>124075014</v>
      </c>
      <c r="P142" s="374"/>
    </row>
    <row r="143" spans="1:55" s="35" customFormat="1" ht="14.25" customHeight="1">
      <c r="C143" s="19">
        <v>480826</v>
      </c>
      <c r="D143" s="20" t="s">
        <v>143</v>
      </c>
      <c r="E143" s="79">
        <v>0</v>
      </c>
      <c r="F143" s="82">
        <v>0</v>
      </c>
      <c r="G143" s="82">
        <v>0</v>
      </c>
      <c r="H143" s="83">
        <v>0</v>
      </c>
      <c r="I143" s="79">
        <v>0</v>
      </c>
      <c r="J143" s="83">
        <v>0</v>
      </c>
      <c r="K143" s="83">
        <v>0</v>
      </c>
      <c r="L143" s="83">
        <v>0</v>
      </c>
      <c r="M143" s="83">
        <v>0</v>
      </c>
      <c r="N143" s="83">
        <v>0</v>
      </c>
      <c r="O143" s="178">
        <f>G143+I143+K143+M143</f>
        <v>0</v>
      </c>
      <c r="P143" s="375"/>
    </row>
    <row r="144" spans="1:55" s="35" customFormat="1" ht="14.25" customHeight="1">
      <c r="C144" s="19">
        <v>440890</v>
      </c>
      <c r="D144" s="20" t="s">
        <v>240</v>
      </c>
      <c r="E144" s="79"/>
      <c r="F144" s="82"/>
      <c r="G144" s="281">
        <f>35954053</f>
        <v>35954053</v>
      </c>
      <c r="H144" s="79">
        <v>0</v>
      </c>
      <c r="I144" s="79">
        <v>4136307</v>
      </c>
      <c r="J144" s="79">
        <v>0</v>
      </c>
      <c r="K144" s="79">
        <v>0</v>
      </c>
      <c r="L144" s="79">
        <v>0</v>
      </c>
      <c r="M144" s="79">
        <v>83984654</v>
      </c>
      <c r="N144" s="83"/>
      <c r="O144" s="178">
        <f>G144+I144+K144+M144</f>
        <v>124075014</v>
      </c>
      <c r="P144" s="375"/>
    </row>
    <row r="145" spans="1:33" s="49" customFormat="1" ht="14.25" customHeight="1">
      <c r="A145" s="2"/>
      <c r="B145" s="2"/>
      <c r="C145" s="57">
        <v>5</v>
      </c>
      <c r="D145" s="58" t="s">
        <v>68</v>
      </c>
      <c r="E145" s="88">
        <f t="shared" ref="E145:N145" si="65">+E146+E203+E212+E216+E222+E228</f>
        <v>0</v>
      </c>
      <c r="F145" s="88">
        <f t="shared" si="65"/>
        <v>492395271</v>
      </c>
      <c r="G145" s="88">
        <f t="shared" si="65"/>
        <v>0</v>
      </c>
      <c r="H145" s="88">
        <f t="shared" si="65"/>
        <v>608537779</v>
      </c>
      <c r="I145" s="88">
        <f t="shared" si="65"/>
        <v>0</v>
      </c>
      <c r="J145" s="190">
        <f t="shared" si="65"/>
        <v>521862280</v>
      </c>
      <c r="K145" s="190">
        <f t="shared" si="65"/>
        <v>0</v>
      </c>
      <c r="L145" s="190">
        <f t="shared" si="65"/>
        <v>900611868.12320828</v>
      </c>
      <c r="M145" s="190">
        <f t="shared" si="65"/>
        <v>0</v>
      </c>
      <c r="N145" s="88">
        <f t="shared" si="65"/>
        <v>2523407198.123208</v>
      </c>
      <c r="O145" s="182">
        <f>+O146+O203+O216+O228+O212</f>
        <v>0</v>
      </c>
      <c r="P145" s="37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1:33" s="34" customFormat="1" ht="14.25" customHeight="1">
      <c r="C146" s="15">
        <v>51</v>
      </c>
      <c r="D146" s="16" t="s">
        <v>69</v>
      </c>
      <c r="E146" s="85">
        <f>+E147+E156+E159+E163+E177+E197</f>
        <v>0</v>
      </c>
      <c r="F146" s="86">
        <f t="shared" ref="F146:N146" si="66">+F147+F156+F159+F163+F166+F174+F177+F197</f>
        <v>492395271</v>
      </c>
      <c r="G146" s="86">
        <f t="shared" si="66"/>
        <v>0</v>
      </c>
      <c r="H146" s="86">
        <f t="shared" si="66"/>
        <v>592567788</v>
      </c>
      <c r="I146" s="86">
        <f t="shared" si="66"/>
        <v>0</v>
      </c>
      <c r="J146" s="86">
        <f t="shared" si="66"/>
        <v>521862280</v>
      </c>
      <c r="K146" s="86">
        <f t="shared" si="66"/>
        <v>0</v>
      </c>
      <c r="L146" s="86">
        <f t="shared" si="66"/>
        <v>816627214.12320828</v>
      </c>
      <c r="M146" s="86">
        <f t="shared" si="66"/>
        <v>0</v>
      </c>
      <c r="N146" s="86">
        <f t="shared" si="66"/>
        <v>2423452553.123208</v>
      </c>
      <c r="O146" s="179">
        <f>+O147+O156+O159+O163+O177+O197</f>
        <v>0</v>
      </c>
      <c r="P146" s="374"/>
    </row>
    <row r="147" spans="1:33" s="35" customFormat="1" ht="14.25" customHeight="1">
      <c r="C147" s="17">
        <v>5101</v>
      </c>
      <c r="D147" s="18" t="s">
        <v>70</v>
      </c>
      <c r="E147" s="85">
        <f t="shared" ref="E147:O147" si="67">+SUM(E148:E155)</f>
        <v>0</v>
      </c>
      <c r="F147" s="86">
        <f t="shared" si="67"/>
        <v>148419281</v>
      </c>
      <c r="G147" s="86">
        <f t="shared" si="67"/>
        <v>0</v>
      </c>
      <c r="H147" s="86">
        <f t="shared" si="67"/>
        <v>185057288</v>
      </c>
      <c r="I147" s="86">
        <f t="shared" si="67"/>
        <v>0</v>
      </c>
      <c r="J147" s="86">
        <f t="shared" si="67"/>
        <v>176197988</v>
      </c>
      <c r="K147" s="86">
        <f t="shared" si="67"/>
        <v>0</v>
      </c>
      <c r="L147" s="86">
        <f t="shared" si="67"/>
        <v>167684214</v>
      </c>
      <c r="M147" s="86">
        <f t="shared" si="67"/>
        <v>0</v>
      </c>
      <c r="N147" s="86">
        <f t="shared" si="67"/>
        <v>677358771</v>
      </c>
      <c r="O147" s="179">
        <f t="shared" si="67"/>
        <v>0</v>
      </c>
      <c r="P147" s="375"/>
    </row>
    <row r="148" spans="1:33" ht="14.25" customHeight="1">
      <c r="C148" s="19">
        <v>510101</v>
      </c>
      <c r="D148" s="20" t="s">
        <v>71</v>
      </c>
      <c r="E148" s="84">
        <v>0</v>
      </c>
      <c r="F148" s="79">
        <v>138552467</v>
      </c>
      <c r="G148" s="79">
        <v>0</v>
      </c>
      <c r="H148" s="79">
        <v>171840630</v>
      </c>
      <c r="I148" s="79">
        <v>0</v>
      </c>
      <c r="J148" s="79">
        <v>161781720</v>
      </c>
      <c r="K148" s="79">
        <v>0</v>
      </c>
      <c r="L148" s="79">
        <v>161781720</v>
      </c>
      <c r="M148" s="79">
        <v>0</v>
      </c>
      <c r="N148" s="82">
        <f>F148+H148+J148+L148-I148</f>
        <v>633956537</v>
      </c>
      <c r="O148" s="177">
        <v>0</v>
      </c>
      <c r="P148" s="39"/>
    </row>
    <row r="149" spans="1:33" ht="14.25" customHeight="1">
      <c r="C149" s="19">
        <v>510105</v>
      </c>
      <c r="D149" s="20" t="s">
        <v>72</v>
      </c>
      <c r="E149" s="84">
        <v>0</v>
      </c>
      <c r="F149" s="79">
        <v>5771326</v>
      </c>
      <c r="G149" s="79">
        <v>0</v>
      </c>
      <c r="H149" s="79">
        <v>5902494</v>
      </c>
      <c r="I149" s="79">
        <v>0</v>
      </c>
      <c r="J149" s="79">
        <v>5902494</v>
      </c>
      <c r="K149" s="79">
        <v>0</v>
      </c>
      <c r="L149" s="79">
        <v>5902494</v>
      </c>
      <c r="M149" s="79">
        <v>0</v>
      </c>
      <c r="N149" s="82">
        <f t="shared" ref="N149:N155" si="68">F149+H149+J149+L149</f>
        <v>23478808</v>
      </c>
      <c r="O149" s="177">
        <v>0</v>
      </c>
      <c r="P149" s="39"/>
    </row>
    <row r="150" spans="1:33" ht="14.25" customHeight="1">
      <c r="C150" s="19">
        <v>510119</v>
      </c>
      <c r="D150" s="20" t="s">
        <v>186</v>
      </c>
      <c r="E150" s="84"/>
      <c r="F150" s="79">
        <v>4095488</v>
      </c>
      <c r="G150" s="79">
        <v>0</v>
      </c>
      <c r="H150" s="79">
        <v>7314164</v>
      </c>
      <c r="I150" s="79">
        <v>0</v>
      </c>
      <c r="J150" s="79">
        <v>8513774</v>
      </c>
      <c r="K150" s="79">
        <v>0</v>
      </c>
      <c r="L150" s="79">
        <v>0</v>
      </c>
      <c r="M150" s="79">
        <v>0</v>
      </c>
      <c r="N150" s="82">
        <f t="shared" si="68"/>
        <v>19923426</v>
      </c>
      <c r="O150" s="177"/>
      <c r="P150" s="39"/>
    </row>
    <row r="151" spans="1:33" ht="14.25" customHeight="1">
      <c r="C151" s="19">
        <v>510123</v>
      </c>
      <c r="D151" s="20" t="s">
        <v>76</v>
      </c>
      <c r="E151" s="84">
        <v>0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82">
        <f t="shared" si="68"/>
        <v>0</v>
      </c>
      <c r="O151" s="177">
        <v>0</v>
      </c>
      <c r="P151" s="39"/>
    </row>
    <row r="152" spans="1:33" ht="14.25" customHeight="1">
      <c r="C152" s="19">
        <v>510702</v>
      </c>
      <c r="D152" s="20" t="s">
        <v>77</v>
      </c>
      <c r="E152" s="84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82">
        <f t="shared" si="68"/>
        <v>0</v>
      </c>
      <c r="O152" s="177">
        <v>0</v>
      </c>
      <c r="P152" s="39"/>
    </row>
    <row r="153" spans="1:33" ht="14.25" customHeight="1">
      <c r="C153" s="19">
        <v>510703</v>
      </c>
      <c r="D153" s="20" t="s">
        <v>196</v>
      </c>
      <c r="E153" s="84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82">
        <f t="shared" si="68"/>
        <v>0</v>
      </c>
      <c r="O153" s="177"/>
      <c r="P153" s="39"/>
    </row>
    <row r="154" spans="1:33" ht="14.25" customHeight="1">
      <c r="C154" s="19">
        <v>510130</v>
      </c>
      <c r="D154" s="20" t="s">
        <v>79</v>
      </c>
      <c r="E154" s="84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82">
        <f>F154+H154+J154+L154</f>
        <v>0</v>
      </c>
      <c r="O154" s="177">
        <v>0</v>
      </c>
      <c r="P154" s="39"/>
    </row>
    <row r="155" spans="1:33" s="35" customFormat="1" ht="14.25" customHeight="1">
      <c r="C155" s="19">
        <v>510706</v>
      </c>
      <c r="D155" s="20" t="s">
        <v>80</v>
      </c>
      <c r="E155" s="84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82">
        <f t="shared" si="68"/>
        <v>0</v>
      </c>
      <c r="O155" s="177">
        <v>0</v>
      </c>
      <c r="P155" s="375"/>
    </row>
    <row r="156" spans="1:33" s="35" customFormat="1" ht="14.25" customHeight="1">
      <c r="C156" s="17">
        <v>5102</v>
      </c>
      <c r="D156" s="18" t="s">
        <v>81</v>
      </c>
      <c r="E156" s="80">
        <f>SUM(E157:E158)</f>
        <v>0</v>
      </c>
      <c r="F156" s="80">
        <f t="shared" ref="F156:O156" si="69">SUM(F157:F158)</f>
        <v>57222461</v>
      </c>
      <c r="G156" s="80">
        <f t="shared" si="69"/>
        <v>0</v>
      </c>
      <c r="H156" s="80">
        <f t="shared" si="69"/>
        <v>24260977</v>
      </c>
      <c r="I156" s="80">
        <f t="shared" si="69"/>
        <v>0</v>
      </c>
      <c r="J156" s="80">
        <f t="shared" si="69"/>
        <v>20124670</v>
      </c>
      <c r="K156" s="80">
        <f t="shared" si="69"/>
        <v>0</v>
      </c>
      <c r="L156" s="80">
        <f t="shared" si="69"/>
        <v>20124669.732539006</v>
      </c>
      <c r="M156" s="80">
        <f t="shared" si="69"/>
        <v>0</v>
      </c>
      <c r="N156" s="80">
        <f t="shared" si="69"/>
        <v>121732777.732539</v>
      </c>
      <c r="O156" s="175">
        <f t="shared" si="69"/>
        <v>0</v>
      </c>
      <c r="P156" s="375"/>
    </row>
    <row r="157" spans="1:33" s="35" customFormat="1" ht="14.25" customHeight="1">
      <c r="C157" s="19">
        <v>510216</v>
      </c>
      <c r="D157" s="20" t="s">
        <v>48</v>
      </c>
      <c r="E157" s="84">
        <v>0</v>
      </c>
      <c r="F157" s="79">
        <v>35954053</v>
      </c>
      <c r="G157" s="79">
        <v>0</v>
      </c>
      <c r="H157" s="79">
        <v>4136307</v>
      </c>
      <c r="I157" s="79">
        <v>0</v>
      </c>
      <c r="J157" s="79">
        <v>0</v>
      </c>
      <c r="K157" s="79">
        <v>0</v>
      </c>
      <c r="L157" s="79">
        <v>0</v>
      </c>
      <c r="M157" s="79">
        <v>0</v>
      </c>
      <c r="N157" s="82">
        <f>F157+H157+J157+L157</f>
        <v>40090360</v>
      </c>
      <c r="O157" s="177">
        <v>0</v>
      </c>
      <c r="P157" s="375"/>
    </row>
    <row r="158" spans="1:33" ht="14.25" customHeight="1">
      <c r="C158" s="19">
        <v>510290</v>
      </c>
      <c r="D158" s="20" t="s">
        <v>82</v>
      </c>
      <c r="E158" s="84">
        <v>0</v>
      </c>
      <c r="F158" s="79">
        <v>21268408</v>
      </c>
      <c r="G158" s="79">
        <v>0</v>
      </c>
      <c r="H158" s="79">
        <v>20124670</v>
      </c>
      <c r="I158" s="79">
        <v>0</v>
      </c>
      <c r="J158" s="79">
        <v>20124670</v>
      </c>
      <c r="K158" s="79">
        <v>0</v>
      </c>
      <c r="L158" s="79">
        <v>20124669.732539006</v>
      </c>
      <c r="M158" s="79">
        <v>0</v>
      </c>
      <c r="N158" s="82">
        <f>F158+H158+J158+L158</f>
        <v>81642417.732538998</v>
      </c>
      <c r="O158" s="177">
        <v>0</v>
      </c>
      <c r="P158" s="39"/>
    </row>
    <row r="159" spans="1:33" s="35" customFormat="1" ht="14.25" customHeight="1">
      <c r="C159" s="17">
        <v>5103</v>
      </c>
      <c r="D159" s="18" t="s">
        <v>83</v>
      </c>
      <c r="E159" s="80">
        <v>0</v>
      </c>
      <c r="F159" s="86">
        <f t="shared" ref="F159:M159" si="70">+SUM(F160:F162)</f>
        <v>25348248</v>
      </c>
      <c r="G159" s="86">
        <f t="shared" si="70"/>
        <v>0</v>
      </c>
      <c r="H159" s="86">
        <f t="shared" si="70"/>
        <v>25050631</v>
      </c>
      <c r="I159" s="86">
        <f t="shared" si="70"/>
        <v>0</v>
      </c>
      <c r="J159" s="86">
        <f t="shared" si="70"/>
        <v>25050631</v>
      </c>
      <c r="K159" s="86">
        <f t="shared" si="70"/>
        <v>0</v>
      </c>
      <c r="L159" s="86">
        <f t="shared" si="70"/>
        <v>25050631.390669335</v>
      </c>
      <c r="M159" s="86">
        <f t="shared" si="70"/>
        <v>0</v>
      </c>
      <c r="N159" s="86">
        <f>N160+N161+N162</f>
        <v>100500141.39066933</v>
      </c>
      <c r="O159" s="179">
        <f>+SUM(O160:O162)</f>
        <v>0</v>
      </c>
      <c r="P159" s="375"/>
    </row>
    <row r="160" spans="1:33" s="35" customFormat="1" ht="14.25" customHeight="1">
      <c r="C160" s="19">
        <v>510302</v>
      </c>
      <c r="D160" s="20" t="s">
        <v>84</v>
      </c>
      <c r="E160" s="84">
        <v>0</v>
      </c>
      <c r="F160" s="79">
        <v>6563700</v>
      </c>
      <c r="G160" s="79">
        <v>0</v>
      </c>
      <c r="H160" s="79">
        <v>6709200</v>
      </c>
      <c r="I160" s="79">
        <v>0</v>
      </c>
      <c r="J160" s="79">
        <v>6709200</v>
      </c>
      <c r="K160" s="79">
        <v>0</v>
      </c>
      <c r="L160" s="79">
        <v>6709200</v>
      </c>
      <c r="M160" s="79">
        <v>0</v>
      </c>
      <c r="N160" s="82">
        <f>F160+H160+J160+L160</f>
        <v>26691300</v>
      </c>
      <c r="O160" s="177">
        <v>0</v>
      </c>
      <c r="P160" s="375"/>
    </row>
    <row r="161" spans="3:16" ht="14.25" customHeight="1">
      <c r="C161" s="19">
        <v>510303</v>
      </c>
      <c r="D161" s="20" t="s">
        <v>131</v>
      </c>
      <c r="E161" s="84">
        <v>0</v>
      </c>
      <c r="F161" s="79">
        <v>15251948</v>
      </c>
      <c r="G161" s="79">
        <v>0</v>
      </c>
      <c r="H161" s="79">
        <v>14254831</v>
      </c>
      <c r="I161" s="79">
        <v>0</v>
      </c>
      <c r="J161" s="79">
        <v>14254831</v>
      </c>
      <c r="K161" s="79">
        <v>0</v>
      </c>
      <c r="L161" s="79">
        <v>14254831.390669335</v>
      </c>
      <c r="M161" s="79">
        <v>0</v>
      </c>
      <c r="N161" s="82">
        <f>F161+H161+J161+L161</f>
        <v>58016441.390669331</v>
      </c>
      <c r="O161" s="177">
        <v>0</v>
      </c>
      <c r="P161" s="39"/>
    </row>
    <row r="162" spans="3:16" ht="14.25" customHeight="1">
      <c r="C162" s="19">
        <v>510305</v>
      </c>
      <c r="D162" s="20" t="s">
        <v>85</v>
      </c>
      <c r="E162" s="84">
        <v>0</v>
      </c>
      <c r="F162" s="79">
        <v>3532600</v>
      </c>
      <c r="G162" s="79">
        <v>0</v>
      </c>
      <c r="H162" s="79">
        <v>4086600</v>
      </c>
      <c r="I162" s="79">
        <v>0</v>
      </c>
      <c r="J162" s="79">
        <v>4086600</v>
      </c>
      <c r="K162" s="79">
        <v>0</v>
      </c>
      <c r="L162" s="79">
        <v>4086600</v>
      </c>
      <c r="M162" s="79">
        <v>0</v>
      </c>
      <c r="N162" s="82">
        <f>F162+H162+J162+L162</f>
        <v>15792400</v>
      </c>
      <c r="O162" s="177">
        <v>0</v>
      </c>
      <c r="P162" s="39"/>
    </row>
    <row r="163" spans="3:16" s="35" customFormat="1" ht="14.25" customHeight="1">
      <c r="C163" s="17">
        <v>5104</v>
      </c>
      <c r="D163" s="18" t="s">
        <v>132</v>
      </c>
      <c r="E163" s="80">
        <v>0</v>
      </c>
      <c r="F163" s="86">
        <f t="shared" ref="F163:M163" si="71">+SUM(F164:F165)</f>
        <v>8070300</v>
      </c>
      <c r="G163" s="86">
        <f t="shared" si="71"/>
        <v>0</v>
      </c>
      <c r="H163" s="86">
        <f t="shared" si="71"/>
        <v>8387100</v>
      </c>
      <c r="I163" s="86">
        <f t="shared" si="71"/>
        <v>0</v>
      </c>
      <c r="J163" s="86">
        <f t="shared" si="71"/>
        <v>8387100</v>
      </c>
      <c r="K163" s="86">
        <f t="shared" si="71"/>
        <v>0</v>
      </c>
      <c r="L163" s="86">
        <f t="shared" si="71"/>
        <v>8387100</v>
      </c>
      <c r="M163" s="86">
        <f t="shared" si="71"/>
        <v>0</v>
      </c>
      <c r="N163" s="86">
        <f>N164+N165</f>
        <v>33231600</v>
      </c>
      <c r="O163" s="179">
        <f>+SUM(O164:O165)</f>
        <v>0</v>
      </c>
      <c r="P163" s="375"/>
    </row>
    <row r="164" spans="3:16" ht="14.25" customHeight="1">
      <c r="C164" s="19">
        <v>510401</v>
      </c>
      <c r="D164" s="20" t="s">
        <v>133</v>
      </c>
      <c r="E164" s="84">
        <v>0</v>
      </c>
      <c r="F164" s="79">
        <v>4923300</v>
      </c>
      <c r="G164" s="79">
        <v>0</v>
      </c>
      <c r="H164" s="79">
        <v>5031900</v>
      </c>
      <c r="I164" s="79">
        <v>0</v>
      </c>
      <c r="J164" s="79">
        <v>5031900</v>
      </c>
      <c r="K164" s="79">
        <v>0</v>
      </c>
      <c r="L164" s="79">
        <v>5031900</v>
      </c>
      <c r="M164" s="79">
        <v>0</v>
      </c>
      <c r="N164" s="82">
        <f>F164+H164+J164+L164</f>
        <v>20019000</v>
      </c>
      <c r="O164" s="177">
        <v>0</v>
      </c>
      <c r="P164" s="39"/>
    </row>
    <row r="165" spans="3:16" ht="14.25" customHeight="1">
      <c r="C165" s="19">
        <v>510402</v>
      </c>
      <c r="D165" s="20" t="s">
        <v>134</v>
      </c>
      <c r="E165" s="84">
        <v>0</v>
      </c>
      <c r="F165" s="79">
        <v>3147000</v>
      </c>
      <c r="G165" s="79">
        <v>0</v>
      </c>
      <c r="H165" s="79">
        <v>3355200</v>
      </c>
      <c r="I165" s="79">
        <v>0</v>
      </c>
      <c r="J165" s="79">
        <v>3355200</v>
      </c>
      <c r="K165" s="79">
        <v>0</v>
      </c>
      <c r="L165" s="79">
        <v>3355200</v>
      </c>
      <c r="M165" s="79">
        <v>0</v>
      </c>
      <c r="N165" s="82">
        <f t="shared" ref="N165:N171" si="72">F165+H165+J165+L165</f>
        <v>13212600</v>
      </c>
      <c r="O165" s="177">
        <v>0</v>
      </c>
      <c r="P165" s="39"/>
    </row>
    <row r="166" spans="3:16" s="35" customFormat="1" ht="14.25" customHeight="1">
      <c r="C166" s="17">
        <v>5107</v>
      </c>
      <c r="D166" s="18" t="s">
        <v>187</v>
      </c>
      <c r="E166" s="80">
        <f>SUM(E167:E173)</f>
        <v>0</v>
      </c>
      <c r="F166" s="80">
        <f t="shared" ref="F166:O166" si="73">SUM(F167:F173)</f>
        <v>14202267</v>
      </c>
      <c r="G166" s="80">
        <f t="shared" si="73"/>
        <v>0</v>
      </c>
      <c r="H166" s="80">
        <f t="shared" si="73"/>
        <v>54334368</v>
      </c>
      <c r="I166" s="80">
        <f t="shared" si="73"/>
        <v>0</v>
      </c>
      <c r="J166" s="80">
        <f t="shared" si="73"/>
        <v>28440985</v>
      </c>
      <c r="K166" s="80">
        <f t="shared" si="73"/>
        <v>0</v>
      </c>
      <c r="L166" s="80">
        <f t="shared" si="73"/>
        <v>136750153</v>
      </c>
      <c r="M166" s="80">
        <f t="shared" si="73"/>
        <v>0</v>
      </c>
      <c r="N166" s="80">
        <f t="shared" si="73"/>
        <v>233727773</v>
      </c>
      <c r="O166" s="175">
        <f t="shared" si="73"/>
        <v>0</v>
      </c>
      <c r="P166" s="375"/>
    </row>
    <row r="167" spans="3:16" s="35" customFormat="1" ht="14.25" customHeight="1">
      <c r="C167" s="19">
        <v>510701</v>
      </c>
      <c r="D167" s="20" t="s">
        <v>75</v>
      </c>
      <c r="E167" s="84"/>
      <c r="F167" s="79">
        <v>8976234</v>
      </c>
      <c r="G167" s="79">
        <v>0</v>
      </c>
      <c r="H167" s="79">
        <v>15024848</v>
      </c>
      <c r="I167" s="79">
        <v>0</v>
      </c>
      <c r="J167" s="79">
        <v>17775616</v>
      </c>
      <c r="K167" s="79">
        <v>0</v>
      </c>
      <c r="L167" s="79">
        <v>0</v>
      </c>
      <c r="M167" s="82"/>
      <c r="N167" s="82">
        <f t="shared" si="72"/>
        <v>41776698</v>
      </c>
      <c r="O167" s="177">
        <v>0</v>
      </c>
      <c r="P167" s="375"/>
    </row>
    <row r="168" spans="3:16" s="35" customFormat="1" ht="14.25" customHeight="1">
      <c r="C168" s="19">
        <v>510702</v>
      </c>
      <c r="D168" s="20" t="s">
        <v>144</v>
      </c>
      <c r="E168" s="84"/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66925211</v>
      </c>
      <c r="M168" s="82"/>
      <c r="N168" s="82">
        <f t="shared" si="72"/>
        <v>66925211</v>
      </c>
      <c r="O168" s="177">
        <v>0</v>
      </c>
      <c r="P168" s="375"/>
    </row>
    <row r="169" spans="3:16" s="35" customFormat="1" ht="14.25" customHeight="1">
      <c r="C169" s="19">
        <v>510703</v>
      </c>
      <c r="D169" s="20" t="s">
        <v>78</v>
      </c>
      <c r="E169" s="84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8031025</v>
      </c>
      <c r="M169" s="82">
        <v>0</v>
      </c>
      <c r="N169" s="82">
        <f t="shared" si="72"/>
        <v>8031025</v>
      </c>
      <c r="O169" s="177">
        <v>0</v>
      </c>
      <c r="P169" s="375"/>
    </row>
    <row r="170" spans="3:16" s="35" customFormat="1" ht="14.25" customHeight="1">
      <c r="C170" s="19">
        <v>510704</v>
      </c>
      <c r="D170" s="20" t="s">
        <v>241</v>
      </c>
      <c r="E170" s="84"/>
      <c r="F170" s="79">
        <v>5226033</v>
      </c>
      <c r="G170" s="79">
        <v>0</v>
      </c>
      <c r="H170" s="79">
        <v>10134016</v>
      </c>
      <c r="I170" s="79">
        <v>0</v>
      </c>
      <c r="J170" s="79">
        <v>10665369</v>
      </c>
      <c r="K170" s="79">
        <v>0</v>
      </c>
      <c r="L170" s="79">
        <v>0</v>
      </c>
      <c r="M170" s="82"/>
      <c r="N170" s="82">
        <f t="shared" si="72"/>
        <v>26025418</v>
      </c>
      <c r="O170" s="177">
        <v>0</v>
      </c>
      <c r="P170" s="375"/>
    </row>
    <row r="171" spans="3:16" s="35" customFormat="1" ht="14.25" customHeight="1">
      <c r="C171" s="19">
        <v>510705</v>
      </c>
      <c r="D171" s="20" t="s">
        <v>74</v>
      </c>
      <c r="E171" s="84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61793917</v>
      </c>
      <c r="M171" s="82">
        <v>0</v>
      </c>
      <c r="N171" s="82">
        <f t="shared" si="72"/>
        <v>61793917</v>
      </c>
      <c r="O171" s="177">
        <v>0</v>
      </c>
      <c r="P171" s="375"/>
    </row>
    <row r="172" spans="3:16" s="35" customFormat="1" ht="14.25" customHeight="1">
      <c r="C172" s="19">
        <v>510706</v>
      </c>
      <c r="D172" s="20" t="s">
        <v>80</v>
      </c>
      <c r="E172" s="84">
        <v>0</v>
      </c>
      <c r="F172" s="79">
        <v>0</v>
      </c>
      <c r="G172" s="79">
        <v>0</v>
      </c>
      <c r="H172" s="79">
        <v>29175504</v>
      </c>
      <c r="I172" s="79">
        <v>0</v>
      </c>
      <c r="J172" s="79">
        <v>0</v>
      </c>
      <c r="K172" s="79">
        <v>0</v>
      </c>
      <c r="L172" s="79">
        <v>0</v>
      </c>
      <c r="M172" s="82">
        <v>0</v>
      </c>
      <c r="N172" s="82">
        <f t="shared" ref="N172:N173" si="74">F172+H172+J172+L172</f>
        <v>29175504</v>
      </c>
      <c r="O172" s="177">
        <v>0</v>
      </c>
      <c r="P172" s="375"/>
    </row>
    <row r="173" spans="3:16" s="35" customFormat="1" ht="14.25" customHeight="1">
      <c r="C173" s="19">
        <v>510707</v>
      </c>
      <c r="D173" s="20" t="s">
        <v>250</v>
      </c>
      <c r="E173" s="84">
        <v>0</v>
      </c>
      <c r="F173" s="82">
        <v>0</v>
      </c>
      <c r="G173" s="82">
        <v>0</v>
      </c>
      <c r="H173" s="82">
        <v>0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f t="shared" si="74"/>
        <v>0</v>
      </c>
      <c r="O173" s="177">
        <v>0</v>
      </c>
      <c r="P173" s="375"/>
    </row>
    <row r="174" spans="3:16" s="35" customFormat="1" ht="14.25" customHeight="1">
      <c r="C174" s="17">
        <v>5108</v>
      </c>
      <c r="D174" s="18" t="s">
        <v>188</v>
      </c>
      <c r="E174" s="80">
        <f>SUM(E175:E176)</f>
        <v>0</v>
      </c>
      <c r="F174" s="80">
        <f t="shared" ref="F174:O174" si="75">SUM(F175:F176)</f>
        <v>160887524</v>
      </c>
      <c r="G174" s="80">
        <f t="shared" si="75"/>
        <v>0</v>
      </c>
      <c r="H174" s="80">
        <f t="shared" si="75"/>
        <v>184141307</v>
      </c>
      <c r="I174" s="80">
        <f t="shared" si="75"/>
        <v>0</v>
      </c>
      <c r="J174" s="80">
        <f t="shared" si="75"/>
        <v>165160151</v>
      </c>
      <c r="K174" s="80">
        <f t="shared" si="75"/>
        <v>0</v>
      </c>
      <c r="L174" s="80">
        <f t="shared" si="75"/>
        <v>219562283</v>
      </c>
      <c r="M174" s="80">
        <f t="shared" si="75"/>
        <v>0</v>
      </c>
      <c r="N174" s="80">
        <f t="shared" si="75"/>
        <v>729751265</v>
      </c>
      <c r="O174" s="175">
        <f t="shared" si="75"/>
        <v>0</v>
      </c>
      <c r="P174" s="375"/>
    </row>
    <row r="175" spans="3:16" s="35" customFormat="1" ht="14.25" customHeight="1">
      <c r="C175" s="19">
        <v>510801</v>
      </c>
      <c r="D175" s="20" t="s">
        <v>189</v>
      </c>
      <c r="E175" s="84">
        <v>0</v>
      </c>
      <c r="F175" s="84">
        <v>0</v>
      </c>
      <c r="G175" s="84">
        <v>0</v>
      </c>
      <c r="H175" s="84">
        <v>0</v>
      </c>
      <c r="I175" s="84">
        <v>0</v>
      </c>
      <c r="J175" s="84">
        <v>0</v>
      </c>
      <c r="K175" s="84">
        <v>0</v>
      </c>
      <c r="L175" s="84">
        <v>0</v>
      </c>
      <c r="M175" s="84">
        <v>0</v>
      </c>
      <c r="N175" s="84">
        <v>0</v>
      </c>
      <c r="O175" s="183">
        <v>0</v>
      </c>
      <c r="P175" s="375"/>
    </row>
    <row r="176" spans="3:16" s="35" customFormat="1" ht="14.25" customHeight="1">
      <c r="C176" s="19">
        <v>510802</v>
      </c>
      <c r="D176" s="20" t="s">
        <v>19</v>
      </c>
      <c r="E176" s="84">
        <v>0</v>
      </c>
      <c r="F176" s="84">
        <v>160887524</v>
      </c>
      <c r="G176" s="79">
        <v>0</v>
      </c>
      <c r="H176" s="79">
        <v>184141307</v>
      </c>
      <c r="I176" s="79">
        <v>0</v>
      </c>
      <c r="J176" s="79">
        <v>165160151</v>
      </c>
      <c r="K176" s="79">
        <v>0</v>
      </c>
      <c r="L176" s="79">
        <v>219562283</v>
      </c>
      <c r="M176" s="84">
        <v>0</v>
      </c>
      <c r="N176" s="82">
        <f t="shared" ref="N176" si="76">F176+H176+J176+L176</f>
        <v>729751265</v>
      </c>
      <c r="O176" s="183">
        <v>0</v>
      </c>
      <c r="P176" s="375"/>
    </row>
    <row r="177" spans="3:16" s="35" customFormat="1" ht="14.25" customHeight="1">
      <c r="C177" s="17">
        <v>5111</v>
      </c>
      <c r="D177" s="18" t="s">
        <v>86</v>
      </c>
      <c r="E177" s="86">
        <f t="shared" ref="E177:G177" si="77">+SUM(E178+E179+E180+E185+E186+E187+E188+E189+E190+E191+E192+E193+E194+E195+E196)</f>
        <v>0</v>
      </c>
      <c r="F177" s="86">
        <f t="shared" si="77"/>
        <v>77436516</v>
      </c>
      <c r="G177" s="86">
        <f t="shared" si="77"/>
        <v>0</v>
      </c>
      <c r="H177" s="86">
        <f>+SUM(H178+H179+H180+H185+H186+H187+H188+H189+H190+H191+H192+H193+H194+H195+H196)</f>
        <v>111194507</v>
      </c>
      <c r="I177" s="86">
        <f t="shared" ref="I177:O177" si="78">+SUM(I178+I179+I180+I185+I186+I187+I188+I189+I190+I191+I192+I193+I194+I195+I196)</f>
        <v>0</v>
      </c>
      <c r="J177" s="86">
        <f t="shared" si="78"/>
        <v>98359145</v>
      </c>
      <c r="K177" s="86">
        <f t="shared" si="78"/>
        <v>0</v>
      </c>
      <c r="L177" s="86">
        <f t="shared" si="78"/>
        <v>239068163</v>
      </c>
      <c r="M177" s="86">
        <f t="shared" si="78"/>
        <v>0</v>
      </c>
      <c r="N177" s="86">
        <f t="shared" si="78"/>
        <v>526058331</v>
      </c>
      <c r="O177" s="179">
        <f t="shared" si="78"/>
        <v>0</v>
      </c>
      <c r="P177" s="375"/>
    </row>
    <row r="178" spans="3:16" ht="14.25" customHeight="1">
      <c r="C178" s="19">
        <v>511114</v>
      </c>
      <c r="D178" s="20" t="s">
        <v>87</v>
      </c>
      <c r="E178" s="84">
        <v>0</v>
      </c>
      <c r="F178" s="79">
        <v>0</v>
      </c>
      <c r="G178" s="79">
        <v>0</v>
      </c>
      <c r="H178" s="79">
        <v>23106600</v>
      </c>
      <c r="I178" s="79">
        <v>0</v>
      </c>
      <c r="J178" s="79">
        <v>46697500</v>
      </c>
      <c r="K178" s="79">
        <v>0</v>
      </c>
      <c r="L178" s="79">
        <v>99064880</v>
      </c>
      <c r="M178" s="82">
        <v>0</v>
      </c>
      <c r="N178" s="82">
        <f>F178+H178+J178+L178</f>
        <v>168868980</v>
      </c>
      <c r="O178" s="177">
        <v>0</v>
      </c>
      <c r="P178" s="39"/>
    </row>
    <row r="179" spans="3:16" ht="14.25" customHeight="1">
      <c r="C179" s="19">
        <v>511115</v>
      </c>
      <c r="D179" s="20" t="s">
        <v>88</v>
      </c>
      <c r="E179" s="84">
        <v>0</v>
      </c>
      <c r="F179" s="79">
        <v>0</v>
      </c>
      <c r="G179" s="79">
        <v>0</v>
      </c>
      <c r="H179" s="79">
        <v>0</v>
      </c>
      <c r="I179" s="79">
        <v>0</v>
      </c>
      <c r="J179" s="79">
        <v>0</v>
      </c>
      <c r="K179" s="79">
        <v>0</v>
      </c>
      <c r="L179" s="79">
        <v>0</v>
      </c>
      <c r="M179" s="82">
        <v>0</v>
      </c>
      <c r="N179" s="82">
        <f>F179+H179+J179+L179</f>
        <v>0</v>
      </c>
      <c r="O179" s="177">
        <v>0</v>
      </c>
      <c r="P179" s="39"/>
    </row>
    <row r="180" spans="3:16" ht="14.25" customHeight="1">
      <c r="C180" s="19">
        <v>511117</v>
      </c>
      <c r="D180" s="20" t="s">
        <v>13</v>
      </c>
      <c r="E180" s="84">
        <v>0</v>
      </c>
      <c r="F180" s="86">
        <f>SUM(F181:F184)</f>
        <v>3738248</v>
      </c>
      <c r="G180" s="81">
        <v>0</v>
      </c>
      <c r="H180" s="86">
        <f>SUM(H181:H184)</f>
        <v>4339592</v>
      </c>
      <c r="I180" s="81">
        <v>0</v>
      </c>
      <c r="J180" s="86">
        <f>SUM(J181:J184)</f>
        <v>2549946</v>
      </c>
      <c r="K180" s="82">
        <v>0</v>
      </c>
      <c r="L180" s="118">
        <f>SUM(L181:L184)</f>
        <v>5352325</v>
      </c>
      <c r="M180" s="82">
        <v>0</v>
      </c>
      <c r="N180" s="118">
        <f>SUM(N181:N184)</f>
        <v>15980111</v>
      </c>
      <c r="O180" s="177">
        <v>0</v>
      </c>
      <c r="P180" s="39"/>
    </row>
    <row r="181" spans="3:16" ht="14.25" customHeight="1">
      <c r="C181" s="19">
        <v>51111701</v>
      </c>
      <c r="D181" s="20" t="s">
        <v>89</v>
      </c>
      <c r="E181" s="84">
        <v>0</v>
      </c>
      <c r="F181" s="79">
        <v>3178240</v>
      </c>
      <c r="G181" s="79">
        <v>0</v>
      </c>
      <c r="H181" s="79">
        <v>3644530</v>
      </c>
      <c r="I181" s="79">
        <v>0</v>
      </c>
      <c r="J181" s="79">
        <v>2073110</v>
      </c>
      <c r="K181" s="79">
        <v>0</v>
      </c>
      <c r="L181" s="79">
        <v>4594380</v>
      </c>
      <c r="M181" s="82">
        <v>0</v>
      </c>
      <c r="N181" s="82">
        <f t="shared" ref="N181:N185" si="79">F181+H181+J181+L181</f>
        <v>13490260</v>
      </c>
      <c r="O181" s="177">
        <v>0</v>
      </c>
      <c r="P181" s="39"/>
    </row>
    <row r="182" spans="3:16" ht="14.25" customHeight="1">
      <c r="C182" s="19">
        <v>51111702</v>
      </c>
      <c r="D182" s="20" t="s">
        <v>90</v>
      </c>
      <c r="E182" s="84">
        <v>0</v>
      </c>
      <c r="F182" s="79">
        <v>344307</v>
      </c>
      <c r="G182" s="79">
        <v>0</v>
      </c>
      <c r="H182" s="79">
        <v>398712</v>
      </c>
      <c r="I182" s="79">
        <v>0</v>
      </c>
      <c r="J182" s="79">
        <v>224586</v>
      </c>
      <c r="K182" s="79">
        <v>0</v>
      </c>
      <c r="L182" s="79">
        <v>497723</v>
      </c>
      <c r="M182" s="82">
        <v>0</v>
      </c>
      <c r="N182" s="82">
        <f t="shared" si="79"/>
        <v>1465328</v>
      </c>
      <c r="O182" s="177">
        <v>0</v>
      </c>
      <c r="P182" s="39"/>
    </row>
    <row r="183" spans="3:16" ht="14.25" customHeight="1">
      <c r="C183" s="19">
        <v>51111703</v>
      </c>
      <c r="D183" s="20" t="s">
        <v>91</v>
      </c>
      <c r="E183" s="84">
        <v>0</v>
      </c>
      <c r="F183" s="79">
        <v>200061</v>
      </c>
      <c r="G183" s="79">
        <v>0</v>
      </c>
      <c r="H183" s="79">
        <v>202670</v>
      </c>
      <c r="I183" s="79">
        <v>0</v>
      </c>
      <c r="J183" s="79">
        <v>202230</v>
      </c>
      <c r="K183" s="79">
        <v>0</v>
      </c>
      <c r="L183" s="79">
        <v>201132</v>
      </c>
      <c r="M183" s="82">
        <v>0</v>
      </c>
      <c r="N183" s="82">
        <f t="shared" si="79"/>
        <v>806093</v>
      </c>
      <c r="O183" s="177">
        <v>0</v>
      </c>
      <c r="P183" s="39"/>
    </row>
    <row r="184" spans="3:16" ht="14.25" customHeight="1">
      <c r="C184" s="19">
        <v>51111704</v>
      </c>
      <c r="D184" s="20" t="s">
        <v>92</v>
      </c>
      <c r="E184" s="84">
        <v>0</v>
      </c>
      <c r="F184" s="79">
        <v>15640</v>
      </c>
      <c r="G184" s="79">
        <v>0</v>
      </c>
      <c r="H184" s="79">
        <v>93680</v>
      </c>
      <c r="I184" s="79">
        <v>0</v>
      </c>
      <c r="J184" s="79">
        <v>50020</v>
      </c>
      <c r="K184" s="79">
        <v>0</v>
      </c>
      <c r="L184" s="79">
        <v>59090</v>
      </c>
      <c r="M184" s="82">
        <v>0</v>
      </c>
      <c r="N184" s="82">
        <f t="shared" si="79"/>
        <v>218430</v>
      </c>
      <c r="O184" s="177">
        <v>0</v>
      </c>
      <c r="P184" s="39"/>
    </row>
    <row r="185" spans="3:16" ht="14.25" customHeight="1">
      <c r="C185" s="19">
        <v>511118</v>
      </c>
      <c r="D185" s="20" t="s">
        <v>28</v>
      </c>
      <c r="E185" s="84">
        <v>0</v>
      </c>
      <c r="F185" s="79">
        <v>26092788</v>
      </c>
      <c r="G185" s="79">
        <v>0</v>
      </c>
      <c r="H185" s="79">
        <v>26092788</v>
      </c>
      <c r="I185" s="79">
        <v>0</v>
      </c>
      <c r="J185" s="79">
        <v>26092788</v>
      </c>
      <c r="K185" s="79">
        <v>0</v>
      </c>
      <c r="L185" s="79">
        <v>27305288</v>
      </c>
      <c r="M185" s="82">
        <v>0</v>
      </c>
      <c r="N185" s="82">
        <f t="shared" si="79"/>
        <v>105583652</v>
      </c>
      <c r="O185" s="177">
        <v>0</v>
      </c>
      <c r="P185" s="39"/>
    </row>
    <row r="186" spans="3:16" ht="14.25" customHeight="1">
      <c r="C186" s="19">
        <v>511119</v>
      </c>
      <c r="D186" s="20" t="s">
        <v>14</v>
      </c>
      <c r="E186" s="84">
        <v>0</v>
      </c>
      <c r="F186" s="79">
        <v>2470000</v>
      </c>
      <c r="G186" s="79">
        <v>0</v>
      </c>
      <c r="H186" s="79">
        <f>9196335+165000</f>
        <v>9361335</v>
      </c>
      <c r="I186" s="79">
        <v>0</v>
      </c>
      <c r="J186" s="79">
        <v>7270024</v>
      </c>
      <c r="K186" s="79">
        <v>0</v>
      </c>
      <c r="L186" s="79">
        <v>24026608</v>
      </c>
      <c r="M186" s="82">
        <v>0</v>
      </c>
      <c r="N186" s="82">
        <f>F186+H186+J186+L186-I186</f>
        <v>43127967</v>
      </c>
      <c r="O186" s="177">
        <v>0</v>
      </c>
      <c r="P186" s="39"/>
    </row>
    <row r="187" spans="3:16" ht="14.25" customHeight="1">
      <c r="C187" s="19">
        <v>511120</v>
      </c>
      <c r="D187" s="20" t="s">
        <v>93</v>
      </c>
      <c r="E187" s="84">
        <v>0</v>
      </c>
      <c r="F187" s="79">
        <v>0</v>
      </c>
      <c r="G187" s="79">
        <v>0</v>
      </c>
      <c r="H187" s="79">
        <v>0</v>
      </c>
      <c r="I187" s="79">
        <v>0</v>
      </c>
      <c r="J187" s="79">
        <v>0</v>
      </c>
      <c r="K187" s="79">
        <v>0</v>
      </c>
      <c r="L187" s="79">
        <v>0</v>
      </c>
      <c r="M187" s="82">
        <v>0</v>
      </c>
      <c r="N187" s="82">
        <f t="shared" ref="N187:N194" si="80">F187+H187+J187+L187</f>
        <v>0</v>
      </c>
      <c r="O187" s="177">
        <v>0</v>
      </c>
      <c r="P187" s="39"/>
    </row>
    <row r="188" spans="3:16" ht="14.25" customHeight="1">
      <c r="C188" s="19">
        <v>511123</v>
      </c>
      <c r="D188" s="20" t="s">
        <v>94</v>
      </c>
      <c r="E188" s="84">
        <v>0</v>
      </c>
      <c r="F188" s="79"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v>0</v>
      </c>
      <c r="L188" s="79">
        <v>0</v>
      </c>
      <c r="M188" s="82">
        <v>0</v>
      </c>
      <c r="N188" s="82">
        <f t="shared" si="80"/>
        <v>0</v>
      </c>
      <c r="O188" s="177">
        <v>0</v>
      </c>
      <c r="P188" s="39"/>
    </row>
    <row r="189" spans="3:16" ht="14.25" customHeight="1">
      <c r="C189" s="19">
        <v>511121</v>
      </c>
      <c r="D189" s="20" t="s">
        <v>135</v>
      </c>
      <c r="E189" s="84">
        <v>0</v>
      </c>
      <c r="F189" s="79">
        <v>0</v>
      </c>
      <c r="G189" s="79">
        <v>0</v>
      </c>
      <c r="H189" s="79">
        <v>0</v>
      </c>
      <c r="I189" s="79">
        <v>0</v>
      </c>
      <c r="J189" s="79">
        <v>0</v>
      </c>
      <c r="K189" s="79">
        <v>0</v>
      </c>
      <c r="L189" s="79">
        <v>0</v>
      </c>
      <c r="M189" s="82">
        <v>0</v>
      </c>
      <c r="N189" s="82">
        <f t="shared" si="80"/>
        <v>0</v>
      </c>
      <c r="O189" s="177">
        <v>0</v>
      </c>
      <c r="P189" s="39"/>
    </row>
    <row r="190" spans="3:16" ht="14.25" customHeight="1">
      <c r="C190" s="19">
        <v>511125</v>
      </c>
      <c r="D190" s="20" t="s">
        <v>136</v>
      </c>
      <c r="E190" s="84">
        <v>0</v>
      </c>
      <c r="F190" s="79">
        <v>0</v>
      </c>
      <c r="G190" s="79">
        <v>0</v>
      </c>
      <c r="H190" s="79">
        <v>0</v>
      </c>
      <c r="I190" s="79">
        <v>0</v>
      </c>
      <c r="J190" s="79">
        <v>0</v>
      </c>
      <c r="K190" s="79">
        <v>0</v>
      </c>
      <c r="L190" s="79">
        <v>1207664</v>
      </c>
      <c r="M190" s="82">
        <v>0</v>
      </c>
      <c r="N190" s="82">
        <f t="shared" si="80"/>
        <v>1207664</v>
      </c>
      <c r="O190" s="177">
        <v>0</v>
      </c>
      <c r="P190" s="39"/>
    </row>
    <row r="191" spans="3:16" ht="14.25" customHeight="1">
      <c r="C191" s="19">
        <v>511146</v>
      </c>
      <c r="D191" s="20" t="s">
        <v>95</v>
      </c>
      <c r="E191" s="84">
        <v>0</v>
      </c>
      <c r="F191" s="79">
        <v>0</v>
      </c>
      <c r="G191" s="79">
        <v>0</v>
      </c>
      <c r="H191" s="79">
        <v>5559992</v>
      </c>
      <c r="I191" s="79">
        <v>0</v>
      </c>
      <c r="J191" s="79">
        <v>3848887</v>
      </c>
      <c r="K191" s="79">
        <v>0</v>
      </c>
      <c r="L191" s="79">
        <v>6398398</v>
      </c>
      <c r="M191" s="82">
        <v>0</v>
      </c>
      <c r="N191" s="82">
        <f t="shared" si="80"/>
        <v>15807277</v>
      </c>
      <c r="O191" s="177">
        <v>0</v>
      </c>
      <c r="P191" s="39"/>
    </row>
    <row r="192" spans="3:16" ht="14.25" customHeight="1">
      <c r="C192" s="19">
        <v>511155</v>
      </c>
      <c r="D192" s="20" t="s">
        <v>251</v>
      </c>
      <c r="E192" s="84">
        <v>0</v>
      </c>
      <c r="F192" s="79">
        <v>0</v>
      </c>
      <c r="G192" s="79">
        <v>0</v>
      </c>
      <c r="H192" s="79">
        <v>23734200</v>
      </c>
      <c r="I192" s="79">
        <v>0</v>
      </c>
      <c r="J192" s="79">
        <v>0</v>
      </c>
      <c r="K192" s="79">
        <v>0</v>
      </c>
      <c r="L192" s="79">
        <v>0</v>
      </c>
      <c r="M192" s="82">
        <v>0</v>
      </c>
      <c r="N192" s="82">
        <f t="shared" ref="N192" si="81">F192+H192+J192+L192</f>
        <v>23734200</v>
      </c>
      <c r="O192" s="177">
        <v>0</v>
      </c>
      <c r="P192" s="39"/>
    </row>
    <row r="193" spans="3:16" s="35" customFormat="1" ht="14.25" customHeight="1">
      <c r="C193" s="19">
        <v>511164</v>
      </c>
      <c r="D193" s="20" t="s">
        <v>137</v>
      </c>
      <c r="E193" s="84">
        <v>0</v>
      </c>
      <c r="F193" s="79">
        <v>2189500</v>
      </c>
      <c r="G193" s="79">
        <v>0</v>
      </c>
      <c r="H193" s="79">
        <v>0</v>
      </c>
      <c r="I193" s="79">
        <v>0</v>
      </c>
      <c r="J193" s="79">
        <v>11900000</v>
      </c>
      <c r="K193" s="79">
        <v>0</v>
      </c>
      <c r="L193" s="79">
        <v>0</v>
      </c>
      <c r="M193" s="82">
        <v>0</v>
      </c>
      <c r="N193" s="82">
        <f>F193+H193+J193+L193</f>
        <v>14089500</v>
      </c>
      <c r="O193" s="177">
        <v>0</v>
      </c>
      <c r="P193" s="375"/>
    </row>
    <row r="194" spans="3:16" ht="14.25" customHeight="1">
      <c r="C194" s="19">
        <v>511165</v>
      </c>
      <c r="D194" s="20" t="s">
        <v>46</v>
      </c>
      <c r="E194" s="84">
        <v>0</v>
      </c>
      <c r="F194" s="79">
        <v>0</v>
      </c>
      <c r="G194" s="79">
        <v>0</v>
      </c>
      <c r="H194" s="79">
        <v>0</v>
      </c>
      <c r="I194" s="79">
        <v>0</v>
      </c>
      <c r="J194" s="79">
        <v>0</v>
      </c>
      <c r="K194" s="79">
        <v>0</v>
      </c>
      <c r="L194" s="79">
        <v>0</v>
      </c>
      <c r="M194" s="82">
        <v>0</v>
      </c>
      <c r="N194" s="82">
        <f t="shared" si="80"/>
        <v>0</v>
      </c>
      <c r="O194" s="177">
        <v>0</v>
      </c>
      <c r="P194" s="39"/>
    </row>
    <row r="195" spans="3:16" ht="14.25" customHeight="1">
      <c r="C195" s="19">
        <v>511179</v>
      </c>
      <c r="D195" s="20" t="s">
        <v>19</v>
      </c>
      <c r="E195" s="84">
        <v>0</v>
      </c>
      <c r="F195" s="79">
        <v>0</v>
      </c>
      <c r="G195" s="79">
        <v>0</v>
      </c>
      <c r="H195" s="79">
        <v>19000000</v>
      </c>
      <c r="I195" s="79">
        <v>0</v>
      </c>
      <c r="J195" s="79">
        <v>0</v>
      </c>
      <c r="K195" s="79">
        <v>0</v>
      </c>
      <c r="L195" s="79">
        <v>0</v>
      </c>
      <c r="M195" s="82">
        <v>0</v>
      </c>
      <c r="N195" s="82">
        <f>+F195-G195+H195-I195+J195-K195</f>
        <v>19000000</v>
      </c>
      <c r="O195" s="177">
        <v>0</v>
      </c>
      <c r="P195" s="39"/>
    </row>
    <row r="196" spans="3:16" ht="14.25" customHeight="1">
      <c r="C196" s="19">
        <v>511190</v>
      </c>
      <c r="D196" s="20" t="s">
        <v>96</v>
      </c>
      <c r="E196" s="84">
        <v>0</v>
      </c>
      <c r="F196" s="79">
        <v>42945980</v>
      </c>
      <c r="G196" s="79">
        <v>0</v>
      </c>
      <c r="H196" s="79">
        <v>0</v>
      </c>
      <c r="I196" s="79">
        <v>0</v>
      </c>
      <c r="J196" s="79">
        <v>0</v>
      </c>
      <c r="K196" s="79">
        <v>0</v>
      </c>
      <c r="L196" s="79">
        <v>75713000</v>
      </c>
      <c r="M196" s="82">
        <v>0</v>
      </c>
      <c r="N196" s="82">
        <f>F196+H196+J196+L196</f>
        <v>118658980</v>
      </c>
      <c r="O196" s="177">
        <v>0</v>
      </c>
      <c r="P196" s="39"/>
    </row>
    <row r="197" spans="3:16" s="35" customFormat="1" ht="14.25" customHeight="1">
      <c r="C197" s="17">
        <v>5120</v>
      </c>
      <c r="D197" s="18" t="s">
        <v>97</v>
      </c>
      <c r="E197" s="80">
        <v>0</v>
      </c>
      <c r="F197" s="86">
        <f>+SUM(F198:F202)</f>
        <v>808674</v>
      </c>
      <c r="G197" s="86">
        <f>+SUM(G198:G202)</f>
        <v>0</v>
      </c>
      <c r="H197" s="86">
        <f>+SUM(H198:H202)</f>
        <v>141610</v>
      </c>
      <c r="I197" s="86">
        <f>+SUM(I198:I202)</f>
        <v>0</v>
      </c>
      <c r="J197" s="81">
        <f>SUM(J198:J202)</f>
        <v>141610</v>
      </c>
      <c r="K197" s="86">
        <f>+SUM(K198:K202)</f>
        <v>0</v>
      </c>
      <c r="L197" s="81">
        <f>SUM(L198:L202)</f>
        <v>0</v>
      </c>
      <c r="M197" s="86">
        <f>+SUM(M198:M202)</f>
        <v>0</v>
      </c>
      <c r="N197" s="81">
        <f>SUM(N198:N202)</f>
        <v>1091894</v>
      </c>
      <c r="O197" s="179">
        <f>+SUM(O198:O202)</f>
        <v>0</v>
      </c>
      <c r="P197" s="375"/>
    </row>
    <row r="198" spans="3:16" ht="14.25" customHeight="1">
      <c r="C198" s="19">
        <v>512008</v>
      </c>
      <c r="D198" s="20" t="s">
        <v>98</v>
      </c>
      <c r="E198" s="84">
        <v>0</v>
      </c>
      <c r="F198" s="79">
        <v>0</v>
      </c>
      <c r="G198" s="79">
        <v>0</v>
      </c>
      <c r="H198" s="79">
        <v>0</v>
      </c>
      <c r="I198" s="79">
        <v>0</v>
      </c>
      <c r="J198" s="79">
        <v>0</v>
      </c>
      <c r="K198" s="79">
        <v>0</v>
      </c>
      <c r="L198" s="79">
        <v>0</v>
      </c>
      <c r="M198" s="82">
        <v>0</v>
      </c>
      <c r="N198" s="82">
        <f>F198+H198+J198+L198</f>
        <v>0</v>
      </c>
      <c r="O198" s="177">
        <v>0</v>
      </c>
      <c r="P198" s="39"/>
    </row>
    <row r="199" spans="3:16" ht="14.25" customHeight="1">
      <c r="C199" s="19">
        <v>512011</v>
      </c>
      <c r="D199" s="20" t="s">
        <v>167</v>
      </c>
      <c r="E199" s="84"/>
      <c r="F199" s="79">
        <v>670575</v>
      </c>
      <c r="G199" s="79">
        <v>0</v>
      </c>
      <c r="H199" s="79">
        <v>0</v>
      </c>
      <c r="I199" s="79">
        <v>0</v>
      </c>
      <c r="J199" s="79">
        <v>0</v>
      </c>
      <c r="K199" s="79">
        <v>0</v>
      </c>
      <c r="L199" s="79">
        <v>0</v>
      </c>
      <c r="M199" s="82"/>
      <c r="N199" s="82">
        <f>F199+H199+J199+L199</f>
        <v>670575</v>
      </c>
      <c r="O199" s="177"/>
      <c r="P199" s="39"/>
    </row>
    <row r="200" spans="3:16" ht="14.25" customHeight="1">
      <c r="C200" s="19">
        <v>512017</v>
      </c>
      <c r="D200" s="20" t="s">
        <v>99</v>
      </c>
      <c r="E200" s="84">
        <v>0</v>
      </c>
      <c r="F200" s="79">
        <v>0</v>
      </c>
      <c r="G200" s="79">
        <v>0</v>
      </c>
      <c r="H200" s="79">
        <v>0</v>
      </c>
      <c r="I200" s="79">
        <v>0</v>
      </c>
      <c r="J200" s="79">
        <v>0</v>
      </c>
      <c r="K200" s="79">
        <v>0</v>
      </c>
      <c r="L200" s="79">
        <v>0</v>
      </c>
      <c r="M200" s="82">
        <v>0</v>
      </c>
      <c r="N200" s="82">
        <f>F200+H200+J200+L200</f>
        <v>0</v>
      </c>
      <c r="O200" s="177">
        <v>0</v>
      </c>
      <c r="P200" s="39"/>
    </row>
    <row r="201" spans="3:16" ht="14.25" customHeight="1">
      <c r="C201" s="19">
        <v>512024</v>
      </c>
      <c r="D201" s="20" t="s">
        <v>138</v>
      </c>
      <c r="E201" s="84">
        <v>0</v>
      </c>
      <c r="F201" s="79">
        <f>13209+124890</f>
        <v>138099</v>
      </c>
      <c r="G201" s="79">
        <v>0</v>
      </c>
      <c r="H201" s="79">
        <v>141610</v>
      </c>
      <c r="I201" s="79">
        <v>0</v>
      </c>
      <c r="J201" s="79">
        <v>141610</v>
      </c>
      <c r="K201" s="79">
        <v>0</v>
      </c>
      <c r="L201" s="279">
        <v>0</v>
      </c>
      <c r="M201" s="82">
        <v>0</v>
      </c>
      <c r="N201" s="82">
        <f>F201+H201+J201+L201</f>
        <v>421319</v>
      </c>
      <c r="O201" s="177">
        <v>0</v>
      </c>
      <c r="P201" s="39"/>
    </row>
    <row r="202" spans="3:16" ht="14.25" customHeight="1">
      <c r="C202" s="19">
        <v>512090</v>
      </c>
      <c r="D202" s="20" t="s">
        <v>151</v>
      </c>
      <c r="E202" s="84">
        <v>0</v>
      </c>
      <c r="F202" s="82">
        <v>0</v>
      </c>
      <c r="G202" s="82">
        <v>0</v>
      </c>
      <c r="H202" s="82">
        <v>0</v>
      </c>
      <c r="I202" s="82">
        <v>0</v>
      </c>
      <c r="J202" s="82">
        <v>0</v>
      </c>
      <c r="K202" s="82">
        <v>0</v>
      </c>
      <c r="L202" s="82">
        <v>0</v>
      </c>
      <c r="M202" s="82">
        <v>0</v>
      </c>
      <c r="N202" s="82">
        <f>F202+H202+J202+L202</f>
        <v>0</v>
      </c>
      <c r="O202" s="177">
        <v>0</v>
      </c>
      <c r="P202" s="39"/>
    </row>
    <row r="203" spans="3:16" s="34" customFormat="1" ht="19.5" customHeight="1">
      <c r="C203" s="15">
        <v>53</v>
      </c>
      <c r="D203" s="16" t="s">
        <v>100</v>
      </c>
      <c r="E203" s="80">
        <v>0</v>
      </c>
      <c r="F203" s="86">
        <f>+F204</f>
        <v>0</v>
      </c>
      <c r="G203" s="86">
        <f t="shared" ref="G203:O203" si="82">+G204</f>
        <v>0</v>
      </c>
      <c r="H203" s="86">
        <f>+H204+H209</f>
        <v>0</v>
      </c>
      <c r="I203" s="86">
        <f t="shared" si="82"/>
        <v>0</v>
      </c>
      <c r="J203" s="86">
        <f>J204</f>
        <v>0</v>
      </c>
      <c r="K203" s="86">
        <f t="shared" si="82"/>
        <v>0</v>
      </c>
      <c r="L203" s="86">
        <f>L204</f>
        <v>0</v>
      </c>
      <c r="M203" s="86">
        <f t="shared" si="82"/>
        <v>0</v>
      </c>
      <c r="N203" s="86">
        <f>N204+N209</f>
        <v>0</v>
      </c>
      <c r="O203" s="179">
        <f t="shared" si="82"/>
        <v>0</v>
      </c>
      <c r="P203" s="374"/>
    </row>
    <row r="204" spans="3:16" s="35" customFormat="1" ht="14.25" customHeight="1">
      <c r="C204" s="17">
        <v>5360</v>
      </c>
      <c r="D204" s="18" t="s">
        <v>101</v>
      </c>
      <c r="E204" s="80">
        <v>0</v>
      </c>
      <c r="F204" s="86">
        <f>+SUM(F205:F211)</f>
        <v>0</v>
      </c>
      <c r="G204" s="86">
        <f>+SUM(G205:G211)</f>
        <v>0</v>
      </c>
      <c r="H204" s="86">
        <f>+SUM(H205:H208)</f>
        <v>0</v>
      </c>
      <c r="I204" s="86">
        <f>+SUM(I205:I211)</f>
        <v>0</v>
      </c>
      <c r="J204" s="86">
        <f>+SUM(J205:J211)</f>
        <v>0</v>
      </c>
      <c r="K204" s="86">
        <f>+SUM(K205:K211)</f>
        <v>0</v>
      </c>
      <c r="L204" s="86">
        <f>+SUM(L205:L211)</f>
        <v>0</v>
      </c>
      <c r="M204" s="86">
        <f>+SUM(M205:M211)</f>
        <v>0</v>
      </c>
      <c r="N204" s="86">
        <f>+SUM(N205:N208)</f>
        <v>0</v>
      </c>
      <c r="O204" s="179">
        <f>+SUM(O205:O211)</f>
        <v>0</v>
      </c>
      <c r="P204" s="375"/>
    </row>
    <row r="205" spans="3:16" ht="14.25" customHeight="1">
      <c r="C205" s="19">
        <v>536004</v>
      </c>
      <c r="D205" s="20" t="s">
        <v>102</v>
      </c>
      <c r="E205" s="84">
        <v>0</v>
      </c>
      <c r="F205" s="82">
        <v>0</v>
      </c>
      <c r="G205" s="82">
        <v>0</v>
      </c>
      <c r="H205" s="82">
        <v>0</v>
      </c>
      <c r="I205" s="82">
        <v>0</v>
      </c>
      <c r="J205" s="82">
        <v>0</v>
      </c>
      <c r="K205" s="82">
        <v>0</v>
      </c>
      <c r="L205" s="82">
        <v>0</v>
      </c>
      <c r="M205" s="82">
        <v>0</v>
      </c>
      <c r="N205" s="82">
        <f t="shared" ref="N205:N211" si="83">F205+H205+J205+L205</f>
        <v>0</v>
      </c>
      <c r="O205" s="177">
        <v>0</v>
      </c>
      <c r="P205" s="39"/>
    </row>
    <row r="206" spans="3:16" ht="14.25" customHeight="1">
      <c r="C206" s="19">
        <v>536006</v>
      </c>
      <c r="D206" s="20" t="s">
        <v>34</v>
      </c>
      <c r="E206" s="84">
        <v>0</v>
      </c>
      <c r="F206" s="82">
        <v>0</v>
      </c>
      <c r="G206" s="82">
        <v>0</v>
      </c>
      <c r="H206" s="82">
        <v>0</v>
      </c>
      <c r="I206" s="82">
        <v>0</v>
      </c>
      <c r="J206" s="82">
        <v>0</v>
      </c>
      <c r="K206" s="82">
        <v>0</v>
      </c>
      <c r="L206" s="82">
        <v>0</v>
      </c>
      <c r="M206" s="82">
        <v>0</v>
      </c>
      <c r="N206" s="82">
        <f t="shared" si="83"/>
        <v>0</v>
      </c>
      <c r="O206" s="177">
        <v>0</v>
      </c>
      <c r="P206" s="39"/>
    </row>
    <row r="207" spans="3:16" ht="14.25" customHeight="1">
      <c r="C207" s="19">
        <v>536007</v>
      </c>
      <c r="D207" s="20" t="s">
        <v>37</v>
      </c>
      <c r="E207" s="84">
        <v>0</v>
      </c>
      <c r="F207" s="82">
        <v>0</v>
      </c>
      <c r="G207" s="82">
        <v>0</v>
      </c>
      <c r="H207" s="82">
        <v>0</v>
      </c>
      <c r="I207" s="82">
        <v>0</v>
      </c>
      <c r="J207" s="82">
        <v>0</v>
      </c>
      <c r="K207" s="82">
        <v>0</v>
      </c>
      <c r="L207" s="82">
        <v>0</v>
      </c>
      <c r="M207" s="82">
        <v>0</v>
      </c>
      <c r="N207" s="82">
        <f t="shared" si="83"/>
        <v>0</v>
      </c>
      <c r="O207" s="177">
        <v>0</v>
      </c>
      <c r="P207" s="39"/>
    </row>
    <row r="208" spans="3:16" ht="14.25" customHeight="1">
      <c r="C208" s="19">
        <v>536008</v>
      </c>
      <c r="D208" s="20" t="s">
        <v>42</v>
      </c>
      <c r="E208" s="84">
        <v>0</v>
      </c>
      <c r="F208" s="82">
        <v>0</v>
      </c>
      <c r="G208" s="82">
        <v>0</v>
      </c>
      <c r="H208" s="82">
        <v>0</v>
      </c>
      <c r="I208" s="82">
        <v>0</v>
      </c>
      <c r="J208" s="82">
        <v>0</v>
      </c>
      <c r="K208" s="82">
        <v>0</v>
      </c>
      <c r="L208" s="82">
        <v>0</v>
      </c>
      <c r="M208" s="82">
        <v>0</v>
      </c>
      <c r="N208" s="82">
        <f t="shared" si="83"/>
        <v>0</v>
      </c>
      <c r="O208" s="177">
        <v>0</v>
      </c>
      <c r="P208" s="39"/>
    </row>
    <row r="209" spans="3:16" ht="14.25" customHeight="1">
      <c r="C209" s="17">
        <v>5366</v>
      </c>
      <c r="D209" s="18" t="s">
        <v>215</v>
      </c>
      <c r="E209" s="80">
        <v>0</v>
      </c>
      <c r="F209" s="81">
        <v>0</v>
      </c>
      <c r="G209" s="81">
        <v>0</v>
      </c>
      <c r="H209" s="81">
        <f>+H210</f>
        <v>0</v>
      </c>
      <c r="I209" s="81"/>
      <c r="J209" s="81"/>
      <c r="K209" s="81"/>
      <c r="L209" s="81"/>
      <c r="M209" s="81"/>
      <c r="N209" s="81">
        <f>H209</f>
        <v>0</v>
      </c>
      <c r="O209" s="177"/>
      <c r="P209" s="39"/>
    </row>
    <row r="210" spans="3:16" ht="14.25" customHeight="1">
      <c r="C210" s="19">
        <v>536690</v>
      </c>
      <c r="D210" s="21" t="s">
        <v>216</v>
      </c>
      <c r="E210" s="84">
        <v>0</v>
      </c>
      <c r="F210" s="82">
        <v>0</v>
      </c>
      <c r="G210" s="82">
        <v>0</v>
      </c>
      <c r="H210" s="82">
        <v>0</v>
      </c>
      <c r="I210" s="82">
        <v>0</v>
      </c>
      <c r="J210" s="82">
        <v>0</v>
      </c>
      <c r="K210" s="82">
        <v>0</v>
      </c>
      <c r="L210" s="82">
        <v>0</v>
      </c>
      <c r="M210" s="82">
        <v>0</v>
      </c>
      <c r="N210" s="82">
        <f t="shared" si="83"/>
        <v>0</v>
      </c>
      <c r="O210" s="177">
        <v>0</v>
      </c>
      <c r="P210" s="39"/>
    </row>
    <row r="211" spans="3:16" ht="14.25" customHeight="1">
      <c r="C211" s="19">
        <v>536605</v>
      </c>
      <c r="D211" s="21" t="s">
        <v>48</v>
      </c>
      <c r="E211" s="84">
        <v>0</v>
      </c>
      <c r="F211" s="83">
        <v>0</v>
      </c>
      <c r="G211" s="82">
        <v>0</v>
      </c>
      <c r="H211" s="82">
        <v>0</v>
      </c>
      <c r="I211" s="82">
        <v>0</v>
      </c>
      <c r="J211" s="82">
        <v>0</v>
      </c>
      <c r="K211" s="82">
        <v>0</v>
      </c>
      <c r="L211" s="82">
        <v>0</v>
      </c>
      <c r="M211" s="82">
        <v>0</v>
      </c>
      <c r="N211" s="82">
        <f t="shared" si="83"/>
        <v>0</v>
      </c>
      <c r="O211" s="177">
        <v>0</v>
      </c>
      <c r="P211" s="39"/>
    </row>
    <row r="212" spans="3:16" ht="14.25" customHeight="1">
      <c r="C212" s="90">
        <v>54</v>
      </c>
      <c r="D212" s="27" t="s">
        <v>149</v>
      </c>
      <c r="E212" s="84">
        <v>0</v>
      </c>
      <c r="F212" s="86">
        <f>F213</f>
        <v>0</v>
      </c>
      <c r="G212" s="86">
        <f t="shared" ref="G212:O212" si="84">G213</f>
        <v>0</v>
      </c>
      <c r="H212" s="86">
        <v>0</v>
      </c>
      <c r="I212" s="86">
        <v>0</v>
      </c>
      <c r="J212" s="86">
        <v>0</v>
      </c>
      <c r="K212" s="86">
        <v>0</v>
      </c>
      <c r="L212" s="86">
        <v>0</v>
      </c>
      <c r="M212" s="86">
        <f t="shared" si="84"/>
        <v>0</v>
      </c>
      <c r="N212" s="86">
        <f t="shared" si="84"/>
        <v>0</v>
      </c>
      <c r="O212" s="179">
        <f t="shared" si="84"/>
        <v>0</v>
      </c>
      <c r="P212" s="39"/>
    </row>
    <row r="213" spans="3:16" ht="14.25" customHeight="1">
      <c r="C213" s="17">
        <v>5423</v>
      </c>
      <c r="D213" s="27" t="s">
        <v>150</v>
      </c>
      <c r="E213" s="84">
        <v>0</v>
      </c>
      <c r="F213" s="86">
        <f t="shared" ref="F213:O213" si="85">SUM(F214:F215)</f>
        <v>0</v>
      </c>
      <c r="G213" s="86">
        <f t="shared" si="85"/>
        <v>0</v>
      </c>
      <c r="H213" s="86">
        <f t="shared" si="85"/>
        <v>0</v>
      </c>
      <c r="I213" s="86">
        <f t="shared" si="85"/>
        <v>0</v>
      </c>
      <c r="J213" s="86">
        <f t="shared" si="85"/>
        <v>0</v>
      </c>
      <c r="K213" s="86">
        <f t="shared" si="85"/>
        <v>0</v>
      </c>
      <c r="L213" s="86">
        <f t="shared" si="85"/>
        <v>0</v>
      </c>
      <c r="M213" s="86">
        <f t="shared" si="85"/>
        <v>0</v>
      </c>
      <c r="N213" s="86">
        <f t="shared" si="85"/>
        <v>0</v>
      </c>
      <c r="O213" s="179">
        <f t="shared" si="85"/>
        <v>0</v>
      </c>
      <c r="P213" s="39"/>
    </row>
    <row r="214" spans="3:16" ht="14.25" customHeight="1">
      <c r="C214" s="19">
        <v>542303</v>
      </c>
      <c r="D214" s="21" t="s">
        <v>63</v>
      </c>
      <c r="E214" s="84">
        <v>0</v>
      </c>
      <c r="F214" s="86">
        <v>0</v>
      </c>
      <c r="G214" s="86">
        <v>0</v>
      </c>
      <c r="H214" s="82">
        <v>0</v>
      </c>
      <c r="I214" s="86">
        <v>0</v>
      </c>
      <c r="J214" s="82">
        <f>F214+H214</f>
        <v>0</v>
      </c>
      <c r="K214" s="86">
        <v>0</v>
      </c>
      <c r="L214" s="82">
        <f>H214+J214</f>
        <v>0</v>
      </c>
      <c r="M214" s="86">
        <v>0</v>
      </c>
      <c r="N214" s="82">
        <f>F214+H214+J214-K214</f>
        <v>0</v>
      </c>
      <c r="O214" s="179">
        <v>0</v>
      </c>
      <c r="P214" s="39"/>
    </row>
    <row r="215" spans="3:16" ht="14.25" customHeight="1">
      <c r="C215" s="19">
        <v>542390</v>
      </c>
      <c r="D215" s="21" t="s">
        <v>177</v>
      </c>
      <c r="E215" s="84">
        <v>0</v>
      </c>
      <c r="F215" s="83">
        <v>0</v>
      </c>
      <c r="G215" s="83">
        <v>0</v>
      </c>
      <c r="H215" s="82">
        <v>0</v>
      </c>
      <c r="I215" s="83">
        <v>0</v>
      </c>
      <c r="J215" s="82">
        <v>0</v>
      </c>
      <c r="K215" s="83">
        <v>0</v>
      </c>
      <c r="L215" s="82">
        <v>0</v>
      </c>
      <c r="M215" s="83">
        <v>0</v>
      </c>
      <c r="N215" s="82">
        <f>F215+H215+J215+L215</f>
        <v>0</v>
      </c>
      <c r="O215" s="178">
        <v>0</v>
      </c>
      <c r="P215" s="39"/>
    </row>
    <row r="216" spans="3:16" s="34" customFormat="1" ht="14.25" customHeight="1">
      <c r="C216" s="15">
        <v>55</v>
      </c>
      <c r="D216" s="16" t="s">
        <v>103</v>
      </c>
      <c r="E216" s="80">
        <v>0</v>
      </c>
      <c r="F216" s="86">
        <f>+F217</f>
        <v>0</v>
      </c>
      <c r="G216" s="86">
        <f t="shared" ref="G216:O217" si="86">+G217</f>
        <v>0</v>
      </c>
      <c r="H216" s="86">
        <f t="shared" si="86"/>
        <v>0</v>
      </c>
      <c r="I216" s="86">
        <f t="shared" si="86"/>
        <v>0</v>
      </c>
      <c r="J216" s="86">
        <f>J217</f>
        <v>0</v>
      </c>
      <c r="K216" s="86">
        <f t="shared" si="86"/>
        <v>0</v>
      </c>
      <c r="L216" s="86">
        <f>L217</f>
        <v>0</v>
      </c>
      <c r="M216" s="86">
        <f t="shared" si="86"/>
        <v>0</v>
      </c>
      <c r="N216" s="86">
        <f>N217</f>
        <v>0</v>
      </c>
      <c r="O216" s="179">
        <f t="shared" si="86"/>
        <v>0</v>
      </c>
      <c r="P216" s="374"/>
    </row>
    <row r="217" spans="3:16" s="35" customFormat="1" ht="14.25" customHeight="1">
      <c r="C217" s="17">
        <v>5503</v>
      </c>
      <c r="D217" s="18" t="s">
        <v>104</v>
      </c>
      <c r="E217" s="80">
        <v>0</v>
      </c>
      <c r="F217" s="86">
        <f>SUM(F218:F221)</f>
        <v>0</v>
      </c>
      <c r="G217" s="86">
        <f t="shared" si="86"/>
        <v>0</v>
      </c>
      <c r="H217" s="86">
        <f>+SUM(H218:H221)</f>
        <v>0</v>
      </c>
      <c r="I217" s="86">
        <f t="shared" si="86"/>
        <v>0</v>
      </c>
      <c r="J217" s="86">
        <f>SUM(J218:J221)</f>
        <v>0</v>
      </c>
      <c r="K217" s="86">
        <f t="shared" si="86"/>
        <v>0</v>
      </c>
      <c r="L217" s="86">
        <f>SUM(L218:L221)</f>
        <v>0</v>
      </c>
      <c r="M217" s="86">
        <f t="shared" si="86"/>
        <v>0</v>
      </c>
      <c r="N217" s="86">
        <f>SUM(N218:N221)</f>
        <v>0</v>
      </c>
      <c r="O217" s="179">
        <f t="shared" si="86"/>
        <v>0</v>
      </c>
      <c r="P217" s="375"/>
    </row>
    <row r="218" spans="3:16" ht="14.25" customHeight="1">
      <c r="C218" s="22">
        <v>550306</v>
      </c>
      <c r="D218" s="23" t="s">
        <v>105</v>
      </c>
      <c r="E218" s="84">
        <v>0</v>
      </c>
      <c r="F218" s="82">
        <v>0</v>
      </c>
      <c r="G218" s="82">
        <v>0</v>
      </c>
      <c r="H218" s="82">
        <v>0</v>
      </c>
      <c r="I218" s="82">
        <v>0</v>
      </c>
      <c r="J218" s="82">
        <v>0</v>
      </c>
      <c r="K218" s="82">
        <v>0</v>
      </c>
      <c r="L218" s="82">
        <v>0</v>
      </c>
      <c r="M218" s="82">
        <v>0</v>
      </c>
      <c r="N218" s="82">
        <f>F218+H218+J218+L218</f>
        <v>0</v>
      </c>
      <c r="O218" s="177">
        <v>0</v>
      </c>
      <c r="P218" s="39"/>
    </row>
    <row r="219" spans="3:16" ht="14.25" customHeight="1">
      <c r="C219" s="22">
        <v>555009</v>
      </c>
      <c r="D219" s="23" t="s">
        <v>168</v>
      </c>
      <c r="E219" s="84">
        <v>0</v>
      </c>
      <c r="F219" s="82">
        <v>0</v>
      </c>
      <c r="G219" s="82">
        <v>0</v>
      </c>
      <c r="H219" s="82">
        <v>0</v>
      </c>
      <c r="I219" s="82">
        <v>0</v>
      </c>
      <c r="J219" s="82">
        <v>0</v>
      </c>
      <c r="K219" s="82"/>
      <c r="L219" s="82">
        <v>0</v>
      </c>
      <c r="M219" s="82"/>
      <c r="N219" s="82">
        <f>F219+H219+J219+L219</f>
        <v>0</v>
      </c>
      <c r="O219" s="177"/>
      <c r="P219" s="39"/>
    </row>
    <row r="220" spans="3:16" ht="14.25" customHeight="1">
      <c r="C220" s="22">
        <v>555010</v>
      </c>
      <c r="D220" s="23" t="s">
        <v>169</v>
      </c>
      <c r="E220" s="84">
        <v>0</v>
      </c>
      <c r="F220" s="82">
        <v>0</v>
      </c>
      <c r="G220" s="82">
        <v>0</v>
      </c>
      <c r="H220" s="82">
        <v>0</v>
      </c>
      <c r="I220" s="82">
        <v>0</v>
      </c>
      <c r="J220" s="82">
        <v>0</v>
      </c>
      <c r="K220" s="82"/>
      <c r="L220" s="82">
        <v>0</v>
      </c>
      <c r="M220" s="82"/>
      <c r="N220" s="82">
        <f>F220+H220+J220+L220</f>
        <v>0</v>
      </c>
      <c r="O220" s="177"/>
      <c r="P220" s="39"/>
    </row>
    <row r="221" spans="3:16" ht="14.25" customHeight="1">
      <c r="C221" s="22">
        <v>555011</v>
      </c>
      <c r="D221" s="23" t="s">
        <v>170</v>
      </c>
      <c r="E221" s="84">
        <v>0</v>
      </c>
      <c r="F221" s="82">
        <v>0</v>
      </c>
      <c r="G221" s="82">
        <v>0</v>
      </c>
      <c r="H221" s="82">
        <v>0</v>
      </c>
      <c r="I221" s="82">
        <v>0</v>
      </c>
      <c r="J221" s="82">
        <v>0</v>
      </c>
      <c r="K221" s="82"/>
      <c r="L221" s="82">
        <v>0</v>
      </c>
      <c r="M221" s="82"/>
      <c r="N221" s="82">
        <f>F221+H221+J221+L221</f>
        <v>0</v>
      </c>
      <c r="O221" s="177"/>
      <c r="P221" s="39"/>
    </row>
    <row r="222" spans="3:16" ht="14.25" customHeight="1">
      <c r="C222" s="15">
        <v>58</v>
      </c>
      <c r="D222" s="16" t="s">
        <v>242</v>
      </c>
      <c r="E222" s="86">
        <f>E223+E225</f>
        <v>0</v>
      </c>
      <c r="F222" s="86">
        <f t="shared" ref="F222:O222" si="87">F223+F225</f>
        <v>0</v>
      </c>
      <c r="G222" s="86">
        <f t="shared" si="87"/>
        <v>0</v>
      </c>
      <c r="H222" s="86">
        <f t="shared" si="87"/>
        <v>15969991</v>
      </c>
      <c r="I222" s="86">
        <f t="shared" si="87"/>
        <v>0</v>
      </c>
      <c r="J222" s="86">
        <f t="shared" si="87"/>
        <v>0</v>
      </c>
      <c r="K222" s="86">
        <f t="shared" si="87"/>
        <v>0</v>
      </c>
      <c r="L222" s="86">
        <f t="shared" si="87"/>
        <v>83984654</v>
      </c>
      <c r="M222" s="86">
        <f t="shared" si="87"/>
        <v>0</v>
      </c>
      <c r="N222" s="86">
        <f t="shared" si="87"/>
        <v>99954645</v>
      </c>
      <c r="O222" s="179">
        <f t="shared" si="87"/>
        <v>0</v>
      </c>
      <c r="P222" s="39"/>
    </row>
    <row r="223" spans="3:16" ht="14.25" customHeight="1">
      <c r="C223" s="111">
        <v>5808</v>
      </c>
      <c r="D223" s="260" t="s">
        <v>65</v>
      </c>
      <c r="E223" s="114">
        <f>+E224</f>
        <v>0</v>
      </c>
      <c r="F223" s="86">
        <f>+F224</f>
        <v>0</v>
      </c>
      <c r="G223" s="86">
        <f t="shared" ref="G223:O223" si="88">+G224</f>
        <v>0</v>
      </c>
      <c r="H223" s="86">
        <f t="shared" si="88"/>
        <v>0</v>
      </c>
      <c r="I223" s="86">
        <f t="shared" si="88"/>
        <v>0</v>
      </c>
      <c r="J223" s="86">
        <f t="shared" si="88"/>
        <v>0</v>
      </c>
      <c r="K223" s="86">
        <f t="shared" si="88"/>
        <v>0</v>
      </c>
      <c r="L223" s="86">
        <f t="shared" si="88"/>
        <v>0</v>
      </c>
      <c r="M223" s="86">
        <f t="shared" si="88"/>
        <v>0</v>
      </c>
      <c r="N223" s="86">
        <f t="shared" si="88"/>
        <v>0</v>
      </c>
      <c r="O223" s="184">
        <f t="shared" si="88"/>
        <v>0</v>
      </c>
      <c r="P223" s="39"/>
    </row>
    <row r="224" spans="3:16" ht="14.25" customHeight="1">
      <c r="C224" s="262">
        <v>580490</v>
      </c>
      <c r="D224" s="261" t="s">
        <v>272</v>
      </c>
      <c r="E224" s="84">
        <v>0</v>
      </c>
      <c r="F224" s="83">
        <v>0</v>
      </c>
      <c r="G224" s="83">
        <v>0</v>
      </c>
      <c r="H224" s="83">
        <v>0</v>
      </c>
      <c r="I224" s="83">
        <v>0</v>
      </c>
      <c r="J224" s="82">
        <v>0</v>
      </c>
      <c r="K224" s="83">
        <v>0</v>
      </c>
      <c r="L224" s="79">
        <v>0</v>
      </c>
      <c r="M224" s="83">
        <v>0</v>
      </c>
      <c r="N224" s="82">
        <f>F224+H224+J224+L224</f>
        <v>0</v>
      </c>
      <c r="O224" s="178">
        <v>0</v>
      </c>
      <c r="P224" s="39"/>
    </row>
    <row r="225" spans="1:46" ht="14.25" customHeight="1">
      <c r="C225" s="111">
        <v>5890</v>
      </c>
      <c r="D225" s="112" t="s">
        <v>243</v>
      </c>
      <c r="E225" s="114">
        <f>+E226+E227</f>
        <v>0</v>
      </c>
      <c r="F225" s="114">
        <f t="shared" ref="F225:O225" si="89">+F226+F227</f>
        <v>0</v>
      </c>
      <c r="G225" s="114">
        <f t="shared" si="89"/>
        <v>0</v>
      </c>
      <c r="H225" s="114">
        <f t="shared" si="89"/>
        <v>15969991</v>
      </c>
      <c r="I225" s="114">
        <f t="shared" si="89"/>
        <v>0</v>
      </c>
      <c r="J225" s="114">
        <f t="shared" si="89"/>
        <v>0</v>
      </c>
      <c r="K225" s="114">
        <f t="shared" si="89"/>
        <v>0</v>
      </c>
      <c r="L225" s="114">
        <f t="shared" si="89"/>
        <v>83984654</v>
      </c>
      <c r="M225" s="114">
        <f t="shared" si="89"/>
        <v>0</v>
      </c>
      <c r="N225" s="114">
        <f t="shared" si="89"/>
        <v>99954645</v>
      </c>
      <c r="O225" s="184">
        <f t="shared" si="89"/>
        <v>0</v>
      </c>
      <c r="P225" s="39"/>
    </row>
    <row r="226" spans="1:46" ht="14.25" customHeight="1">
      <c r="C226" s="262">
        <v>589012</v>
      </c>
      <c r="D226" s="61" t="s">
        <v>278</v>
      </c>
      <c r="E226" s="84">
        <v>0</v>
      </c>
      <c r="F226" s="79">
        <v>0</v>
      </c>
      <c r="G226" s="83">
        <v>0</v>
      </c>
      <c r="H226" s="83">
        <v>15969991</v>
      </c>
      <c r="I226" s="83">
        <v>0</v>
      </c>
      <c r="J226" s="82">
        <v>0</v>
      </c>
      <c r="K226" s="83">
        <v>0</v>
      </c>
      <c r="L226" s="267">
        <v>0</v>
      </c>
      <c r="M226" s="269">
        <v>0</v>
      </c>
      <c r="N226" s="82">
        <f>F226+H226+J226+L226</f>
        <v>15969991</v>
      </c>
      <c r="O226" s="178">
        <v>0</v>
      </c>
      <c r="P226" s="39"/>
    </row>
    <row r="227" spans="1:46" ht="14.25" customHeight="1">
      <c r="C227" s="19">
        <v>589090</v>
      </c>
      <c r="D227" s="20" t="s">
        <v>303</v>
      </c>
      <c r="E227" s="84">
        <v>0</v>
      </c>
      <c r="F227" s="79">
        <v>0</v>
      </c>
      <c r="G227" s="83">
        <v>0</v>
      </c>
      <c r="H227" s="83">
        <v>0</v>
      </c>
      <c r="I227" s="83">
        <v>0</v>
      </c>
      <c r="J227" s="82">
        <v>0</v>
      </c>
      <c r="K227" s="83">
        <v>0</v>
      </c>
      <c r="L227" s="82">
        <v>83984654</v>
      </c>
      <c r="M227" s="269">
        <v>0</v>
      </c>
      <c r="N227" s="82">
        <f>F227+H227+J227+L227</f>
        <v>83984654</v>
      </c>
      <c r="O227" s="178">
        <v>0</v>
      </c>
      <c r="P227" s="39"/>
    </row>
    <row r="228" spans="1:46" s="34" customFormat="1" ht="13.5">
      <c r="C228" s="15">
        <v>59</v>
      </c>
      <c r="D228" s="16" t="s">
        <v>238</v>
      </c>
      <c r="E228" s="86">
        <f>+E229</f>
        <v>0</v>
      </c>
      <c r="F228" s="86">
        <f>+F229</f>
        <v>0</v>
      </c>
      <c r="G228" s="86">
        <f t="shared" ref="G228:O228" si="90">+G229</f>
        <v>0</v>
      </c>
      <c r="H228" s="81">
        <f t="shared" si="90"/>
        <v>0</v>
      </c>
      <c r="I228" s="86">
        <f t="shared" si="90"/>
        <v>0</v>
      </c>
      <c r="J228" s="81">
        <f>+J229+J231</f>
        <v>0</v>
      </c>
      <c r="K228" s="86">
        <f t="shared" si="90"/>
        <v>0</v>
      </c>
      <c r="L228" s="268">
        <f>+L229</f>
        <v>0</v>
      </c>
      <c r="M228" s="270">
        <f t="shared" si="90"/>
        <v>0</v>
      </c>
      <c r="N228" s="81">
        <f>+N229</f>
        <v>0</v>
      </c>
      <c r="O228" s="179">
        <f t="shared" si="90"/>
        <v>0</v>
      </c>
      <c r="P228" s="374"/>
    </row>
    <row r="229" spans="1:46" s="35" customFormat="1" ht="13.5">
      <c r="C229" s="111">
        <v>5905</v>
      </c>
      <c r="D229" s="112" t="s">
        <v>238</v>
      </c>
      <c r="E229" s="114">
        <f>+E230</f>
        <v>0</v>
      </c>
      <c r="F229" s="86">
        <f>+F230</f>
        <v>0</v>
      </c>
      <c r="G229" s="86">
        <f t="shared" ref="G229:O229" si="91">+G230</f>
        <v>0</v>
      </c>
      <c r="H229" s="86">
        <f t="shared" si="91"/>
        <v>0</v>
      </c>
      <c r="I229" s="86">
        <f t="shared" si="91"/>
        <v>0</v>
      </c>
      <c r="J229" s="86">
        <f t="shared" si="91"/>
        <v>0</v>
      </c>
      <c r="K229" s="86">
        <f t="shared" si="91"/>
        <v>0</v>
      </c>
      <c r="L229" s="270">
        <f t="shared" si="91"/>
        <v>0</v>
      </c>
      <c r="M229" s="270">
        <f t="shared" si="91"/>
        <v>0</v>
      </c>
      <c r="N229" s="86">
        <f t="shared" si="91"/>
        <v>0</v>
      </c>
      <c r="O229" s="184">
        <f t="shared" si="91"/>
        <v>0</v>
      </c>
      <c r="P229" s="375"/>
    </row>
    <row r="230" spans="1:46" s="35" customFormat="1" ht="14.25" customHeight="1">
      <c r="C230" s="17">
        <v>590501</v>
      </c>
      <c r="D230" s="20" t="s">
        <v>238</v>
      </c>
      <c r="E230" s="80">
        <v>0</v>
      </c>
      <c r="F230" s="86">
        <v>0</v>
      </c>
      <c r="G230" s="86">
        <v>0</v>
      </c>
      <c r="H230" s="86">
        <v>0</v>
      </c>
      <c r="I230" s="86">
        <v>0</v>
      </c>
      <c r="J230" s="82">
        <f>F230+H230</f>
        <v>0</v>
      </c>
      <c r="K230" s="86">
        <v>0</v>
      </c>
      <c r="L230" s="267">
        <v>0</v>
      </c>
      <c r="M230" s="270">
        <v>0</v>
      </c>
      <c r="N230" s="82">
        <v>0</v>
      </c>
      <c r="O230" s="179">
        <v>0</v>
      </c>
      <c r="P230" s="375"/>
    </row>
    <row r="231" spans="1:46" s="35" customFormat="1" ht="14.25" customHeight="1">
      <c r="C231" s="115">
        <v>5810</v>
      </c>
      <c r="D231" s="116" t="s">
        <v>174</v>
      </c>
      <c r="E231" s="117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f>J232</f>
        <v>0</v>
      </c>
      <c r="K231" s="86"/>
      <c r="L231" s="270">
        <f>L232</f>
        <v>0</v>
      </c>
      <c r="M231" s="270"/>
      <c r="N231" s="86">
        <f>N232</f>
        <v>0</v>
      </c>
      <c r="O231" s="185"/>
      <c r="P231" s="375"/>
    </row>
    <row r="232" spans="1:46" s="35" customFormat="1" ht="14.25" customHeight="1">
      <c r="C232" s="22">
        <v>581010</v>
      </c>
      <c r="D232" s="61" t="s">
        <v>175</v>
      </c>
      <c r="E232" s="113">
        <v>0</v>
      </c>
      <c r="F232" s="86">
        <v>0</v>
      </c>
      <c r="G232" s="86">
        <v>0</v>
      </c>
      <c r="H232" s="86">
        <v>0</v>
      </c>
      <c r="I232" s="86">
        <v>0</v>
      </c>
      <c r="J232" s="82">
        <f>F232+H232</f>
        <v>0</v>
      </c>
      <c r="K232" s="86"/>
      <c r="L232" s="267">
        <f>H232+J232</f>
        <v>0</v>
      </c>
      <c r="M232" s="270"/>
      <c r="N232" s="82">
        <f>H232+J232</f>
        <v>0</v>
      </c>
      <c r="O232" s="184"/>
      <c r="P232" s="375"/>
    </row>
    <row r="233" spans="1:46" s="52" customFormat="1" ht="14.25" customHeight="1">
      <c r="A233" s="2"/>
      <c r="B233" s="2"/>
      <c r="C233" s="22"/>
      <c r="D233" s="122" t="s">
        <v>139</v>
      </c>
      <c r="E233" s="123">
        <f>E8-E62-E118</f>
        <v>0.47999954223632813</v>
      </c>
      <c r="F233" s="159">
        <f t="shared" ref="F233:L233" si="92">+F8+F62+F118+F129+F145</f>
        <v>1161092302.3600001</v>
      </c>
      <c r="G233" s="159">
        <f t="shared" si="92"/>
        <v>1161092302.8199999</v>
      </c>
      <c r="H233" s="159">
        <f t="shared" si="92"/>
        <v>1269377674</v>
      </c>
      <c r="I233" s="159">
        <f t="shared" si="92"/>
        <v>1269377674</v>
      </c>
      <c r="J233" s="159">
        <f t="shared" si="92"/>
        <v>1266324585</v>
      </c>
      <c r="K233" s="159">
        <f t="shared" si="92"/>
        <v>1266324585</v>
      </c>
      <c r="L233" s="159">
        <f t="shared" si="92"/>
        <v>1978110148.2532084</v>
      </c>
      <c r="M233" s="159">
        <f>+M8+M62+M118+M129+M145+1</f>
        <v>1978110148.3500004</v>
      </c>
      <c r="N233" s="159">
        <f>+N8+N62+N118+N129+N145</f>
        <v>11945498693.399319</v>
      </c>
      <c r="O233" s="160">
        <f>+O8+O62+O118+O129+O145+1</f>
        <v>11945498693.47611</v>
      </c>
      <c r="P233" s="37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</row>
    <row r="234" spans="1:46">
      <c r="C234" s="31"/>
      <c r="E234" s="37"/>
      <c r="F234" s="381">
        <f>+F233-G233</f>
        <v>-0.45999979972839355</v>
      </c>
      <c r="G234" s="14"/>
      <c r="H234" s="14"/>
      <c r="I234" s="14">
        <f>+H233-I233</f>
        <v>0</v>
      </c>
      <c r="J234" s="14"/>
      <c r="K234" s="14">
        <f>+J233-K233</f>
        <v>0</v>
      </c>
      <c r="L234" s="382"/>
      <c r="M234" s="14">
        <f>+L233-M233</f>
        <v>-9.6791982650756836E-2</v>
      </c>
      <c r="N234" s="373"/>
      <c r="O234" s="186">
        <f>+N233-O233</f>
        <v>-7.6791763305664063E-2</v>
      </c>
      <c r="P234" s="39"/>
    </row>
    <row r="235" spans="1:46">
      <c r="C235" s="31"/>
      <c r="E235" s="37"/>
      <c r="F235" s="381"/>
      <c r="G235" s="14"/>
      <c r="H235" s="14"/>
      <c r="J235" s="14"/>
      <c r="K235" s="14"/>
      <c r="L235" s="271"/>
      <c r="M235" s="271"/>
      <c r="N235" s="373"/>
      <c r="O235" s="186"/>
      <c r="P235" s="39"/>
    </row>
    <row r="236" spans="1:46">
      <c r="C236" s="31"/>
      <c r="E236" s="37"/>
      <c r="F236" s="381"/>
      <c r="G236" s="14"/>
      <c r="H236" s="14"/>
      <c r="J236" s="14"/>
      <c r="K236" s="14"/>
      <c r="L236" s="271"/>
      <c r="M236" s="271"/>
      <c r="N236" s="373"/>
      <c r="O236" s="186"/>
      <c r="P236" s="39"/>
    </row>
    <row r="237" spans="1:46">
      <c r="C237" s="38"/>
      <c r="E237" s="37"/>
      <c r="F237" s="14"/>
      <c r="G237" s="14"/>
      <c r="H237" s="14"/>
      <c r="J237" s="14"/>
      <c r="L237" s="383"/>
      <c r="M237" s="271"/>
      <c r="N237" s="384"/>
      <c r="O237" s="187"/>
      <c r="P237" s="39"/>
    </row>
    <row r="238" spans="1:46">
      <c r="C238" s="39"/>
      <c r="E238" s="37"/>
      <c r="F238" s="381"/>
      <c r="G238" s="14"/>
      <c r="H238" s="14"/>
      <c r="I238" s="14"/>
      <c r="J238" s="373"/>
      <c r="K238" s="14"/>
      <c r="L238" s="271"/>
      <c r="N238" s="373"/>
      <c r="O238" s="187"/>
      <c r="P238" s="39"/>
    </row>
    <row r="239" spans="1:46" s="48" customFormat="1" ht="15.75" customHeight="1">
      <c r="C239" s="46"/>
      <c r="D239" s="121" t="s">
        <v>218</v>
      </c>
      <c r="E239" s="47"/>
      <c r="H239" s="121" t="s">
        <v>277</v>
      </c>
      <c r="K239" s="10"/>
      <c r="L239" s="385"/>
      <c r="M239" s="121"/>
      <c r="N239" s="384"/>
      <c r="O239" s="187"/>
      <c r="P239" s="46"/>
    </row>
    <row r="240" spans="1:46" s="48" customFormat="1">
      <c r="C240" s="46"/>
      <c r="D240" s="121" t="s">
        <v>142</v>
      </c>
      <c r="E240" s="47"/>
      <c r="H240" s="121" t="s">
        <v>282</v>
      </c>
      <c r="K240" s="386"/>
      <c r="M240" s="121"/>
      <c r="N240" s="384"/>
      <c r="O240" s="187"/>
      <c r="P240" s="46"/>
    </row>
    <row r="241" spans="3:16" s="48" customFormat="1">
      <c r="C241" s="46"/>
      <c r="D241" s="121" t="s">
        <v>219</v>
      </c>
      <c r="E241" s="47"/>
      <c r="H241" s="121" t="s">
        <v>57</v>
      </c>
      <c r="K241" s="386"/>
      <c r="M241" s="121"/>
      <c r="N241" s="384"/>
      <c r="O241" s="187"/>
      <c r="P241" s="46"/>
    </row>
    <row r="242" spans="3:16" ht="15.75">
      <c r="C242" s="31"/>
      <c r="E242" s="40"/>
      <c r="F242" s="387"/>
      <c r="K242" s="387"/>
      <c r="M242" s="567" t="s">
        <v>310</v>
      </c>
      <c r="N242" s="568"/>
      <c r="O242" s="187"/>
      <c r="P242" s="39"/>
    </row>
    <row r="243" spans="3:16">
      <c r="C243" s="31"/>
      <c r="E243" s="41"/>
      <c r="F243" s="388"/>
      <c r="J243" s="388"/>
      <c r="K243" s="59"/>
      <c r="O243" s="187"/>
      <c r="P243" s="39"/>
    </row>
    <row r="244" spans="3:16">
      <c r="C244" s="540" t="s">
        <v>181</v>
      </c>
      <c r="D244" s="541"/>
      <c r="E244" s="40"/>
      <c r="F244" s="387"/>
      <c r="J244" s="387"/>
      <c r="K244" s="387"/>
      <c r="O244" s="187"/>
      <c r="P244" s="39"/>
    </row>
    <row r="245" spans="3:16" ht="15" thickBot="1">
      <c r="C245" s="542"/>
      <c r="D245" s="543"/>
      <c r="E245" s="42"/>
      <c r="F245" s="33"/>
      <c r="G245" s="33"/>
      <c r="H245" s="33"/>
      <c r="I245" s="33"/>
      <c r="J245" s="33"/>
      <c r="K245" s="33"/>
      <c r="L245" s="273"/>
      <c r="M245" s="274"/>
      <c r="N245" s="43"/>
      <c r="O245" s="188"/>
      <c r="P245" s="39"/>
    </row>
    <row r="248" spans="3:16">
      <c r="E248" s="37"/>
      <c r="J248" s="2"/>
      <c r="K248" s="2"/>
      <c r="L248" s="271"/>
      <c r="M248" s="271"/>
    </row>
    <row r="249" spans="3:16">
      <c r="D249" s="29"/>
      <c r="E249" s="44"/>
      <c r="I249" s="128"/>
      <c r="J249" s="2"/>
      <c r="K249" s="2"/>
      <c r="L249" s="271"/>
      <c r="M249" s="271"/>
    </row>
    <row r="250" spans="3:16">
      <c r="D250" s="29"/>
      <c r="E250" s="44"/>
      <c r="I250" s="128"/>
      <c r="J250" s="2"/>
      <c r="K250" s="2"/>
    </row>
    <row r="251" spans="3:16">
      <c r="D251" s="29"/>
      <c r="E251" s="44"/>
      <c r="F251" s="29"/>
      <c r="I251" s="128"/>
      <c r="J251" s="2"/>
      <c r="K251" s="2"/>
    </row>
    <row r="252" spans="3:16">
      <c r="D252" s="10"/>
      <c r="E252" s="45"/>
      <c r="F252" s="29"/>
      <c r="I252" s="128"/>
      <c r="J252" s="2"/>
      <c r="K252" s="2"/>
      <c r="M252" s="271"/>
    </row>
    <row r="253" spans="3:16">
      <c r="D253" s="10"/>
      <c r="E253" s="44"/>
      <c r="F253" s="29"/>
      <c r="I253" s="128"/>
      <c r="J253" s="2"/>
      <c r="K253" s="2"/>
    </row>
    <row r="254" spans="3:16">
      <c r="E254" s="37"/>
      <c r="F254" s="2"/>
      <c r="G254" s="2"/>
      <c r="H254" s="127"/>
      <c r="I254" s="129"/>
      <c r="J254" s="2"/>
      <c r="K254" s="2"/>
    </row>
    <row r="255" spans="3:16" ht="15.75">
      <c r="C255" s="2"/>
      <c r="E255" s="37"/>
      <c r="F255" s="2"/>
      <c r="G255" s="2"/>
      <c r="H255" s="127"/>
      <c r="I255" s="130"/>
      <c r="J255" s="2"/>
      <c r="K255" s="2"/>
    </row>
    <row r="256" spans="3:16" ht="15.75">
      <c r="F256" s="2"/>
      <c r="G256" s="2"/>
      <c r="H256" s="127"/>
      <c r="I256" s="130"/>
      <c r="J256" s="2"/>
      <c r="K256" s="2"/>
    </row>
    <row r="257" spans="3:11" ht="15.75">
      <c r="F257" s="2"/>
      <c r="G257" s="2"/>
      <c r="H257" s="127"/>
      <c r="I257" s="130"/>
      <c r="J257" s="2"/>
      <c r="K257" s="2"/>
    </row>
    <row r="258" spans="3:11" ht="15.75">
      <c r="F258" s="2"/>
      <c r="G258" s="2"/>
      <c r="H258" s="127"/>
      <c r="I258" s="130"/>
      <c r="J258" s="2"/>
      <c r="K258" s="2"/>
    </row>
    <row r="259" spans="3:11" ht="15.75">
      <c r="F259" s="2"/>
      <c r="G259" s="2"/>
      <c r="H259" s="127"/>
      <c r="I259" s="130"/>
      <c r="J259" s="2"/>
      <c r="K259" s="2"/>
    </row>
    <row r="260" spans="3:11" ht="15.75">
      <c r="F260" s="2"/>
      <c r="G260" s="2"/>
      <c r="H260" s="130"/>
      <c r="I260" s="127"/>
      <c r="J260" s="2"/>
      <c r="K260" s="2"/>
    </row>
    <row r="261" spans="3:11" ht="15.75">
      <c r="F261" s="2"/>
      <c r="G261" s="2"/>
      <c r="H261" s="130"/>
      <c r="I261" s="127"/>
      <c r="J261" s="2"/>
      <c r="K261" s="2"/>
    </row>
    <row r="262" spans="3:11" ht="15.75">
      <c r="F262" s="2"/>
      <c r="G262" s="2"/>
      <c r="H262" s="130"/>
      <c r="I262" s="127"/>
      <c r="J262" s="2"/>
      <c r="K262" s="2"/>
    </row>
    <row r="263" spans="3:11" ht="15.75">
      <c r="F263" s="2"/>
      <c r="G263" s="2"/>
      <c r="H263" s="130"/>
      <c r="I263" s="127"/>
      <c r="J263" s="2"/>
      <c r="K263" s="2"/>
    </row>
    <row r="264" spans="3:11" ht="15.75">
      <c r="C264" s="2"/>
      <c r="D264" s="2"/>
      <c r="E264" s="2"/>
      <c r="F264" s="2"/>
      <c r="G264" s="2"/>
      <c r="H264" s="130"/>
      <c r="I264" s="127"/>
      <c r="J264" s="2"/>
      <c r="K264" s="2"/>
    </row>
    <row r="265" spans="3:11" ht="15.75">
      <c r="C265" s="2"/>
      <c r="D265" s="2"/>
      <c r="E265" s="2"/>
      <c r="F265" s="2"/>
      <c r="G265" s="2"/>
      <c r="H265" s="130"/>
      <c r="I265" s="127"/>
      <c r="J265" s="2"/>
      <c r="K265" s="2"/>
    </row>
  </sheetData>
  <sortState xmlns:xlrd2="http://schemas.microsoft.com/office/spreadsheetml/2017/richdata2" ref="C99:O109">
    <sortCondition ref="C98"/>
  </sortState>
  <mergeCells count="16">
    <mergeCell ref="C244:D244"/>
    <mergeCell ref="C245:D245"/>
    <mergeCell ref="J6:K6"/>
    <mergeCell ref="N6:O6"/>
    <mergeCell ref="C1:O1"/>
    <mergeCell ref="C2:O2"/>
    <mergeCell ref="C3:O3"/>
    <mergeCell ref="C4:O4"/>
    <mergeCell ref="C5:O5"/>
    <mergeCell ref="C6:C7"/>
    <mergeCell ref="D6:D7"/>
    <mergeCell ref="E6:E7"/>
    <mergeCell ref="F6:G6"/>
    <mergeCell ref="H6:I6"/>
    <mergeCell ref="L6:M6"/>
    <mergeCell ref="M242:N242"/>
  </mergeCells>
  <pageMargins left="1.5" right="0.75" top="0.25" bottom="0.25" header="0.31496062992126" footer="0.31496062992126"/>
  <pageSetup paperSize="5" scale="60" orientation="landscape" r:id="rId1"/>
  <headerFooter>
    <oddFooter>&amp;L&amp;A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6"/>
  <sheetViews>
    <sheetView view="pageBreakPreview" topLeftCell="A59" zoomScale="80" zoomScaleNormal="100" zoomScaleSheetLayoutView="80" workbookViewId="0">
      <selection activeCell="B83" sqref="B83"/>
    </sheetView>
  </sheetViews>
  <sheetFormatPr baseColWidth="10" defaultColWidth="11.42578125" defaultRowHeight="13.5"/>
  <cols>
    <col min="1" max="1" width="9.5703125" style="1" customWidth="1"/>
    <col min="2" max="2" width="9.42578125" style="401" customWidth="1"/>
    <col min="3" max="3" width="50.5703125" style="1" customWidth="1"/>
    <col min="4" max="4" width="25.42578125" style="1" customWidth="1"/>
    <col min="5" max="5" width="9.140625" style="1" customWidth="1"/>
    <col min="6" max="16384" width="11.42578125" style="1"/>
  </cols>
  <sheetData>
    <row r="1" spans="1:5" ht="15.75">
      <c r="A1" s="167"/>
      <c r="B1" s="570" t="s">
        <v>0</v>
      </c>
      <c r="C1" s="571"/>
      <c r="D1" s="572"/>
      <c r="E1" s="168"/>
    </row>
    <row r="2" spans="1:5" ht="15.75">
      <c r="A2" s="5"/>
      <c r="B2" s="573" t="s">
        <v>165</v>
      </c>
      <c r="C2" s="574"/>
      <c r="D2" s="575"/>
      <c r="E2" s="96"/>
    </row>
    <row r="3" spans="1:5" ht="15.75">
      <c r="A3" s="5"/>
      <c r="B3" s="573" t="s">
        <v>210</v>
      </c>
      <c r="C3" s="574"/>
      <c r="D3" s="575"/>
      <c r="E3" s="96"/>
    </row>
    <row r="4" spans="1:5" s="53" customFormat="1" ht="15.75">
      <c r="A4" s="5"/>
      <c r="B4" s="576" t="s">
        <v>308</v>
      </c>
      <c r="C4" s="577"/>
      <c r="D4" s="578"/>
      <c r="E4" s="96"/>
    </row>
    <row r="5" spans="1:5">
      <c r="A5" s="5"/>
      <c r="B5" s="415"/>
      <c r="E5" s="6"/>
    </row>
    <row r="6" spans="1:5" s="54" customFormat="1" ht="15.75">
      <c r="A6" s="5"/>
      <c r="B6" s="452">
        <v>4</v>
      </c>
      <c r="C6" s="102" t="s">
        <v>58</v>
      </c>
      <c r="D6" s="103">
        <f>D7</f>
        <v>124483634.90000001</v>
      </c>
      <c r="E6" s="6"/>
    </row>
    <row r="7" spans="1:5" ht="15">
      <c r="A7" s="5"/>
      <c r="B7" s="579" t="s">
        <v>59</v>
      </c>
      <c r="C7" s="580"/>
      <c r="D7" s="161">
        <f>D8+D11+D21</f>
        <v>124483634.90000001</v>
      </c>
      <c r="E7" s="97"/>
    </row>
    <row r="8" spans="1:5">
      <c r="A8" s="5"/>
      <c r="B8" s="454">
        <v>0.41</v>
      </c>
      <c r="C8" s="399" t="s">
        <v>266</v>
      </c>
      <c r="D8" s="206">
        <f>+D9</f>
        <v>0</v>
      </c>
      <c r="E8" s="6"/>
    </row>
    <row r="9" spans="1:5">
      <c r="A9" s="5"/>
      <c r="B9" s="453" t="s">
        <v>386</v>
      </c>
      <c r="C9" s="400" t="s">
        <v>264</v>
      </c>
      <c r="D9" s="206">
        <f>+D10</f>
        <v>0</v>
      </c>
      <c r="E9" s="6"/>
    </row>
    <row r="10" spans="1:5">
      <c r="A10" s="5"/>
      <c r="B10" s="415" t="s">
        <v>387</v>
      </c>
      <c r="C10" s="401" t="s">
        <v>267</v>
      </c>
      <c r="D10" s="162">
        <f>+'MAYOR Y BALANCE'!O132</f>
        <v>0</v>
      </c>
      <c r="E10" s="6"/>
    </row>
    <row r="11" spans="1:5">
      <c r="A11" s="5"/>
      <c r="B11" s="455">
        <v>4.4000000000000004</v>
      </c>
      <c r="C11" s="402" t="s">
        <v>60</v>
      </c>
      <c r="D11" s="162">
        <f>+D12</f>
        <v>0</v>
      </c>
      <c r="E11" s="6"/>
    </row>
    <row r="12" spans="1:5">
      <c r="A12" s="5"/>
      <c r="B12" s="456" t="s">
        <v>388</v>
      </c>
      <c r="C12" s="7" t="s">
        <v>61</v>
      </c>
      <c r="D12" s="162">
        <f>+D13+D20</f>
        <v>0</v>
      </c>
      <c r="E12" s="6"/>
    </row>
    <row r="13" spans="1:5" s="60" customFormat="1">
      <c r="A13" s="92"/>
      <c r="B13" s="457" t="s">
        <v>389</v>
      </c>
      <c r="C13" s="403" t="s">
        <v>62</v>
      </c>
      <c r="D13" s="162">
        <f>'MAYOR Y BALANCE'!O135</f>
        <v>0</v>
      </c>
      <c r="E13" s="98"/>
    </row>
    <row r="14" spans="1:5" hidden="1">
      <c r="A14" s="5"/>
      <c r="B14" s="457"/>
      <c r="C14" s="403" t="s">
        <v>152</v>
      </c>
      <c r="D14" s="162">
        <v>1454735965</v>
      </c>
      <c r="E14" s="99"/>
    </row>
    <row r="15" spans="1:5" hidden="1">
      <c r="A15" s="5"/>
      <c r="B15" s="457"/>
      <c r="C15" s="403" t="s">
        <v>153</v>
      </c>
      <c r="D15" s="162">
        <v>767379831</v>
      </c>
      <c r="E15" s="99"/>
    </row>
    <row r="16" spans="1:5" hidden="1">
      <c r="A16" s="5"/>
      <c r="B16" s="457"/>
      <c r="C16" s="403" t="s">
        <v>154</v>
      </c>
      <c r="D16" s="162">
        <v>565006451</v>
      </c>
      <c r="E16" s="93"/>
    </row>
    <row r="17" spans="1:5" hidden="1">
      <c r="A17" s="5"/>
      <c r="B17" s="457"/>
      <c r="C17" s="403" t="s">
        <v>155</v>
      </c>
      <c r="D17" s="162">
        <v>1770962296</v>
      </c>
      <c r="E17" s="99"/>
    </row>
    <row r="18" spans="1:5" hidden="1">
      <c r="A18" s="5"/>
      <c r="B18" s="457"/>
      <c r="C18" s="403" t="s">
        <v>157</v>
      </c>
      <c r="D18" s="162">
        <v>0</v>
      </c>
      <c r="E18" s="99"/>
    </row>
    <row r="19" spans="1:5" hidden="1">
      <c r="A19" s="5"/>
      <c r="B19" s="457"/>
      <c r="C19" s="403" t="s">
        <v>156</v>
      </c>
      <c r="D19" s="162">
        <v>0</v>
      </c>
      <c r="E19" s="99"/>
    </row>
    <row r="20" spans="1:5" s="60" customFormat="1">
      <c r="A20" s="92"/>
      <c r="B20" s="457" t="s">
        <v>390</v>
      </c>
      <c r="C20" s="403" t="s">
        <v>63</v>
      </c>
      <c r="D20" s="162">
        <f>'MAYOR Y BALANCE'!O136</f>
        <v>0</v>
      </c>
      <c r="E20" s="94"/>
    </row>
    <row r="21" spans="1:5">
      <c r="A21" s="5"/>
      <c r="B21" s="455">
        <v>4.8</v>
      </c>
      <c r="C21" s="402" t="s">
        <v>64</v>
      </c>
      <c r="D21" s="104">
        <f>+D22+D26</f>
        <v>124483634.90000001</v>
      </c>
      <c r="E21" s="100"/>
    </row>
    <row r="22" spans="1:5">
      <c r="A22" s="5"/>
      <c r="B22" s="456" t="s">
        <v>391</v>
      </c>
      <c r="C22" s="7" t="s">
        <v>65</v>
      </c>
      <c r="D22" s="104">
        <f>SUM(D23:D25)</f>
        <v>408620.9</v>
      </c>
      <c r="E22" s="99"/>
    </row>
    <row r="23" spans="1:5" ht="14.25">
      <c r="A23" s="5"/>
      <c r="B23" s="458" t="s">
        <v>392</v>
      </c>
      <c r="C23" s="11" t="s">
        <v>66</v>
      </c>
      <c r="D23" s="105">
        <f>+'MAYOR Y BALANCE'!O139</f>
        <v>509.9</v>
      </c>
      <c r="E23" s="99"/>
    </row>
    <row r="24" spans="1:5" ht="14.25">
      <c r="A24" s="5"/>
      <c r="B24" s="458" t="s">
        <v>393</v>
      </c>
      <c r="C24" s="11" t="s">
        <v>302</v>
      </c>
      <c r="D24" s="105">
        <f>+'MAYOR Y BALANCE'!O140</f>
        <v>342950</v>
      </c>
      <c r="E24" s="6"/>
    </row>
    <row r="25" spans="1:5" ht="14.25">
      <c r="A25" s="5"/>
      <c r="B25" s="458" t="s">
        <v>394</v>
      </c>
      <c r="C25" s="11" t="s">
        <v>287</v>
      </c>
      <c r="D25" s="105">
        <f>+'MAYOR Y BALANCE'!O141</f>
        <v>65161</v>
      </c>
      <c r="E25" s="6"/>
    </row>
    <row r="26" spans="1:5">
      <c r="A26" s="5"/>
      <c r="B26" s="456" t="s">
        <v>395</v>
      </c>
      <c r="C26" s="7" t="s">
        <v>214</v>
      </c>
      <c r="D26" s="104">
        <f>+D27</f>
        <v>124075014</v>
      </c>
      <c r="E26" s="100"/>
    </row>
    <row r="27" spans="1:5" ht="14.25">
      <c r="A27" s="5"/>
      <c r="B27" s="459">
        <v>480890</v>
      </c>
      <c r="C27" s="258" t="s">
        <v>245</v>
      </c>
      <c r="D27" s="259">
        <f>+'MAYOR Y BALANCE'!O144</f>
        <v>124075014</v>
      </c>
      <c r="E27" s="99"/>
    </row>
    <row r="28" spans="1:5">
      <c r="A28" s="5"/>
      <c r="B28" s="457"/>
      <c r="D28" s="163"/>
      <c r="E28" s="6"/>
    </row>
    <row r="29" spans="1:5" ht="15.75">
      <c r="A29" s="5"/>
      <c r="B29" s="460">
        <v>5</v>
      </c>
      <c r="C29" s="404" t="s">
        <v>68</v>
      </c>
      <c r="D29" s="106">
        <f>+D31+D69+D73</f>
        <v>124483635.12320805</v>
      </c>
      <c r="E29" s="6"/>
    </row>
    <row r="30" spans="1:5">
      <c r="A30" s="5"/>
      <c r="B30" s="456"/>
      <c r="C30" s="7"/>
      <c r="D30" s="107"/>
      <c r="E30" s="6"/>
    </row>
    <row r="31" spans="1:5">
      <c r="A31" s="5"/>
      <c r="B31" s="461">
        <v>5.0999999999999996</v>
      </c>
      <c r="C31" s="8" t="s">
        <v>69</v>
      </c>
      <c r="D31" s="108">
        <f>+D32+D36+D39+D43+D46+D53+D55+D66</f>
        <v>2423452553.123208</v>
      </c>
      <c r="E31" s="6"/>
    </row>
    <row r="32" spans="1:5">
      <c r="A32" s="5"/>
      <c r="B32" s="462" t="s">
        <v>396</v>
      </c>
      <c r="C32" s="9" t="s">
        <v>70</v>
      </c>
      <c r="D32" s="109">
        <f>SUM(D33:D35)</f>
        <v>677358771</v>
      </c>
      <c r="E32" s="6"/>
    </row>
    <row r="33" spans="1:5" ht="14.25">
      <c r="A33" s="5"/>
      <c r="B33" s="458" t="s">
        <v>397</v>
      </c>
      <c r="C33" s="11" t="s">
        <v>71</v>
      </c>
      <c r="D33" s="110">
        <f>'MAYOR Y BALANCE'!N148</f>
        <v>633956537</v>
      </c>
      <c r="E33" s="131"/>
    </row>
    <row r="34" spans="1:5" ht="14.25">
      <c r="A34" s="5"/>
      <c r="B34" s="458" t="s">
        <v>398</v>
      </c>
      <c r="C34" s="11" t="s">
        <v>72</v>
      </c>
      <c r="D34" s="110">
        <f>'MAYOR Y BALANCE'!N149</f>
        <v>23478808</v>
      </c>
      <c r="E34" s="6"/>
    </row>
    <row r="35" spans="1:5" ht="14.25">
      <c r="A35" s="5"/>
      <c r="B35" s="458" t="s">
        <v>399</v>
      </c>
      <c r="C35" s="11" t="s">
        <v>186</v>
      </c>
      <c r="D35" s="110">
        <f>'MAYOR Y BALANCE'!N150</f>
        <v>19923426</v>
      </c>
      <c r="E35" s="6"/>
    </row>
    <row r="36" spans="1:5">
      <c r="A36" s="5"/>
      <c r="B36" s="462" t="s">
        <v>400</v>
      </c>
      <c r="C36" s="9" t="s">
        <v>81</v>
      </c>
      <c r="D36" s="109">
        <f>SUM(D37:D38)</f>
        <v>121732777.732539</v>
      </c>
      <c r="E36" s="6"/>
    </row>
    <row r="37" spans="1:5" ht="14.25">
      <c r="A37" s="5"/>
      <c r="B37" s="458" t="s">
        <v>401</v>
      </c>
      <c r="C37" s="11" t="s">
        <v>279</v>
      </c>
      <c r="D37" s="110">
        <f>+'MAYOR Y BALANCE'!N157</f>
        <v>40090360</v>
      </c>
      <c r="E37" s="6"/>
    </row>
    <row r="38" spans="1:5" ht="14.25">
      <c r="A38" s="5"/>
      <c r="B38" s="458" t="s">
        <v>402</v>
      </c>
      <c r="C38" s="11" t="s">
        <v>82</v>
      </c>
      <c r="D38" s="110">
        <f>'MAYOR Y BALANCE'!N158</f>
        <v>81642417.732538998</v>
      </c>
      <c r="E38" s="6"/>
    </row>
    <row r="39" spans="1:5">
      <c r="A39" s="5"/>
      <c r="B39" s="462" t="s">
        <v>403</v>
      </c>
      <c r="C39" s="9" t="s">
        <v>83</v>
      </c>
      <c r="D39" s="109">
        <f>SUM(D40:D42)</f>
        <v>100500141.39066933</v>
      </c>
      <c r="E39" s="6"/>
    </row>
    <row r="40" spans="1:5" ht="14.25">
      <c r="A40" s="5"/>
      <c r="B40" s="458" t="s">
        <v>404</v>
      </c>
      <c r="C40" s="11" t="s">
        <v>84</v>
      </c>
      <c r="D40" s="110">
        <f>'MAYOR Y BALANCE'!N160</f>
        <v>26691300</v>
      </c>
      <c r="E40" s="6"/>
    </row>
    <row r="41" spans="1:5" ht="14.25">
      <c r="A41" s="5"/>
      <c r="B41" s="458" t="s">
        <v>405</v>
      </c>
      <c r="C41" s="11" t="s">
        <v>131</v>
      </c>
      <c r="D41" s="110">
        <f>'MAYOR Y BALANCE'!N161</f>
        <v>58016441.390669331</v>
      </c>
      <c r="E41" s="6"/>
    </row>
    <row r="42" spans="1:5" ht="14.25">
      <c r="A42" s="5"/>
      <c r="B42" s="458" t="s">
        <v>406</v>
      </c>
      <c r="C42" s="11" t="s">
        <v>85</v>
      </c>
      <c r="D42" s="110">
        <f>'MAYOR Y BALANCE'!N162</f>
        <v>15792400</v>
      </c>
      <c r="E42" s="6"/>
    </row>
    <row r="43" spans="1:5">
      <c r="A43" s="5"/>
      <c r="B43" s="462" t="s">
        <v>407</v>
      </c>
      <c r="C43" s="9" t="s">
        <v>132</v>
      </c>
      <c r="D43" s="109">
        <f>SUM(D44:D45)</f>
        <v>33231600</v>
      </c>
      <c r="E43" s="6"/>
    </row>
    <row r="44" spans="1:5" ht="14.25">
      <c r="A44" s="5"/>
      <c r="B44" s="458" t="s">
        <v>408</v>
      </c>
      <c r="C44" s="11" t="s">
        <v>133</v>
      </c>
      <c r="D44" s="110">
        <f>'MAYOR Y BALANCE'!N164</f>
        <v>20019000</v>
      </c>
      <c r="E44" s="6"/>
    </row>
    <row r="45" spans="1:5" ht="14.25">
      <c r="A45" s="5"/>
      <c r="B45" s="458" t="s">
        <v>409</v>
      </c>
      <c r="C45" s="11" t="s">
        <v>134</v>
      </c>
      <c r="D45" s="110">
        <f>'MAYOR Y BALANCE'!N165</f>
        <v>13212600</v>
      </c>
      <c r="E45" s="6"/>
    </row>
    <row r="46" spans="1:5">
      <c r="A46" s="5"/>
      <c r="B46" s="462" t="s">
        <v>410</v>
      </c>
      <c r="C46" s="9" t="s">
        <v>187</v>
      </c>
      <c r="D46" s="109">
        <f>SUM(D47:D52)</f>
        <v>233727773</v>
      </c>
      <c r="E46" s="6"/>
    </row>
    <row r="47" spans="1:5" ht="14.25">
      <c r="A47" s="5"/>
      <c r="B47" s="458" t="s">
        <v>411</v>
      </c>
      <c r="C47" s="11" t="s">
        <v>220</v>
      </c>
      <c r="D47" s="110">
        <f>+'MAYOR Y BALANCE'!N167</f>
        <v>41776698</v>
      </c>
      <c r="E47" s="6"/>
    </row>
    <row r="48" spans="1:5" ht="14.25">
      <c r="A48" s="5"/>
      <c r="B48" s="458" t="s">
        <v>412</v>
      </c>
      <c r="C48" s="11" t="s">
        <v>144</v>
      </c>
      <c r="D48" s="110">
        <f>+'MAYOR Y BALANCE'!N168</f>
        <v>66925211</v>
      </c>
      <c r="E48" s="6"/>
    </row>
    <row r="49" spans="1:5" ht="14.25">
      <c r="A49" s="5"/>
      <c r="B49" s="458" t="s">
        <v>413</v>
      </c>
      <c r="C49" s="11" t="s">
        <v>221</v>
      </c>
      <c r="D49" s="110">
        <f>+'MAYOR Y BALANCE'!N169</f>
        <v>8031025</v>
      </c>
      <c r="E49" s="6"/>
    </row>
    <row r="50" spans="1:5" ht="14.25">
      <c r="A50" s="5"/>
      <c r="B50" s="458" t="s">
        <v>414</v>
      </c>
      <c r="C50" s="11" t="s">
        <v>73</v>
      </c>
      <c r="D50" s="110">
        <f>+'MAYOR Y BALANCE'!N170</f>
        <v>26025418</v>
      </c>
      <c r="E50" s="6"/>
    </row>
    <row r="51" spans="1:5" s="4" customFormat="1" ht="14.25">
      <c r="A51" s="95"/>
      <c r="B51" s="458" t="s">
        <v>415</v>
      </c>
      <c r="C51" s="11" t="s">
        <v>197</v>
      </c>
      <c r="D51" s="110">
        <f>+'MAYOR Y BALANCE'!N171</f>
        <v>61793917</v>
      </c>
      <c r="E51" s="101"/>
    </row>
    <row r="52" spans="1:5" s="4" customFormat="1" ht="14.25">
      <c r="A52" s="95"/>
      <c r="B52" s="458" t="s">
        <v>416</v>
      </c>
      <c r="C52" s="11" t="s">
        <v>80</v>
      </c>
      <c r="D52" s="110">
        <f>+'MAYOR Y BALANCE'!N172</f>
        <v>29175504</v>
      </c>
      <c r="E52" s="101"/>
    </row>
    <row r="53" spans="1:5" s="4" customFormat="1">
      <c r="A53" s="95"/>
      <c r="B53" s="462" t="s">
        <v>417</v>
      </c>
      <c r="C53" s="9" t="s">
        <v>222</v>
      </c>
      <c r="D53" s="109">
        <f>SUM(D54:D54)</f>
        <v>729751265</v>
      </c>
      <c r="E53" s="101"/>
    </row>
    <row r="54" spans="1:5" s="4" customFormat="1" ht="14.25">
      <c r="A54" s="95"/>
      <c r="B54" s="458" t="s">
        <v>418</v>
      </c>
      <c r="C54" s="11" t="s">
        <v>223</v>
      </c>
      <c r="D54" s="110">
        <v>729751265</v>
      </c>
      <c r="E54" s="101"/>
    </row>
    <row r="55" spans="1:5">
      <c r="A55" s="5"/>
      <c r="B55" s="462" t="s">
        <v>420</v>
      </c>
      <c r="C55" s="9" t="s">
        <v>86</v>
      </c>
      <c r="D55" s="109">
        <f>SUM(D56:D65)</f>
        <v>526058331</v>
      </c>
      <c r="E55" s="6"/>
    </row>
    <row r="56" spans="1:5" ht="14.25">
      <c r="A56" s="5"/>
      <c r="B56" s="458" t="s">
        <v>421</v>
      </c>
      <c r="C56" s="11" t="s">
        <v>87</v>
      </c>
      <c r="D56" s="110">
        <f>'MAYOR Y BALANCE'!N178</f>
        <v>168868980</v>
      </c>
      <c r="E56" s="6"/>
    </row>
    <row r="57" spans="1:5" ht="14.25">
      <c r="A57" s="5"/>
      <c r="B57" s="458" t="s">
        <v>423</v>
      </c>
      <c r="C57" s="11" t="s">
        <v>13</v>
      </c>
      <c r="D57" s="110">
        <v>15980111</v>
      </c>
      <c r="E57" s="6"/>
    </row>
    <row r="58" spans="1:5" ht="14.25">
      <c r="A58" s="5"/>
      <c r="B58" s="458" t="s">
        <v>424</v>
      </c>
      <c r="C58" s="11" t="s">
        <v>28</v>
      </c>
      <c r="D58" s="110">
        <f>'MAYOR Y BALANCE'!N185</f>
        <v>105583652</v>
      </c>
      <c r="E58" s="6"/>
    </row>
    <row r="59" spans="1:5" ht="14.25">
      <c r="A59" s="5"/>
      <c r="B59" s="458" t="s">
        <v>425</v>
      </c>
      <c r="C59" s="11" t="s">
        <v>14</v>
      </c>
      <c r="D59" s="110">
        <f>'MAYOR Y BALANCE'!N186</f>
        <v>43127967</v>
      </c>
      <c r="E59" s="6"/>
    </row>
    <row r="60" spans="1:5" ht="14.25">
      <c r="A60" s="5"/>
      <c r="B60" s="458" t="s">
        <v>426</v>
      </c>
      <c r="C60" s="11" t="s">
        <v>255</v>
      </c>
      <c r="D60" s="110">
        <f>+'MAYOR Y BALANCE'!N190</f>
        <v>1207664</v>
      </c>
      <c r="E60" s="6"/>
    </row>
    <row r="61" spans="1:5" ht="14.25">
      <c r="A61" s="5"/>
      <c r="B61" s="458" t="s">
        <v>427</v>
      </c>
      <c r="C61" s="11" t="s">
        <v>95</v>
      </c>
      <c r="D61" s="110">
        <f>'MAYOR Y BALANCE'!N191</f>
        <v>15807277</v>
      </c>
      <c r="E61" s="6"/>
    </row>
    <row r="62" spans="1:5" s="4" customFormat="1" ht="14.25">
      <c r="A62" s="95"/>
      <c r="B62" s="458" t="s">
        <v>428</v>
      </c>
      <c r="C62" s="11" t="s">
        <v>252</v>
      </c>
      <c r="D62" s="110">
        <f>+'MAYOR Y BALANCE'!N192</f>
        <v>23734200</v>
      </c>
      <c r="E62" s="6"/>
    </row>
    <row r="63" spans="1:5" s="4" customFormat="1" ht="14.25">
      <c r="A63" s="95"/>
      <c r="B63" s="458" t="s">
        <v>429</v>
      </c>
      <c r="C63" s="11" t="s">
        <v>253</v>
      </c>
      <c r="D63" s="110">
        <f>+'MAYOR Y BALANCE'!N193</f>
        <v>14089500</v>
      </c>
      <c r="E63" s="6"/>
    </row>
    <row r="64" spans="1:5" s="4" customFormat="1" ht="14.25">
      <c r="A64" s="95"/>
      <c r="B64" s="458" t="s">
        <v>430</v>
      </c>
      <c r="C64" s="11" t="s">
        <v>19</v>
      </c>
      <c r="D64" s="110">
        <f>+'MAYOR Y BALANCE'!N195</f>
        <v>19000000</v>
      </c>
      <c r="E64" s="6"/>
    </row>
    <row r="65" spans="1:5" ht="14.25">
      <c r="A65" s="5"/>
      <c r="B65" s="458" t="s">
        <v>431</v>
      </c>
      <c r="C65" s="11" t="s">
        <v>96</v>
      </c>
      <c r="D65" s="110">
        <f>'MAYOR Y BALANCE'!N196</f>
        <v>118658980</v>
      </c>
      <c r="E65" s="101"/>
    </row>
    <row r="66" spans="1:5">
      <c r="A66" s="5"/>
      <c r="B66" s="462" t="s">
        <v>432</v>
      </c>
      <c r="C66" s="9" t="s">
        <v>97</v>
      </c>
      <c r="D66" s="109">
        <f>SUM(D67:D68)</f>
        <v>1091894</v>
      </c>
      <c r="E66" s="6"/>
    </row>
    <row r="67" spans="1:5" ht="14.25">
      <c r="A67" s="5"/>
      <c r="B67" s="458" t="s">
        <v>433</v>
      </c>
      <c r="C67" s="11" t="s">
        <v>167</v>
      </c>
      <c r="D67" s="110">
        <f>'MAYOR Y BALANCE'!N199</f>
        <v>670575</v>
      </c>
      <c r="E67" s="6"/>
    </row>
    <row r="68" spans="1:5" ht="14.25">
      <c r="A68" s="5"/>
      <c r="B68" s="458" t="s">
        <v>434</v>
      </c>
      <c r="C68" s="11" t="s">
        <v>138</v>
      </c>
      <c r="D68" s="110">
        <f>'MAYOR Y BALANCE'!N201</f>
        <v>421319</v>
      </c>
      <c r="E68" s="6"/>
    </row>
    <row r="69" spans="1:5">
      <c r="A69" s="5"/>
      <c r="B69" s="462">
        <v>5.8</v>
      </c>
      <c r="C69" s="9" t="s">
        <v>436</v>
      </c>
      <c r="D69" s="109">
        <f>+D70</f>
        <v>99954645</v>
      </c>
      <c r="E69" s="6"/>
    </row>
    <row r="70" spans="1:5" ht="15" customHeight="1">
      <c r="A70" s="5"/>
      <c r="B70" s="462" t="s">
        <v>435</v>
      </c>
      <c r="C70" s="35" t="s">
        <v>212</v>
      </c>
      <c r="D70" s="109">
        <f>SUM(D71:D72)</f>
        <v>99954645</v>
      </c>
      <c r="E70" s="6"/>
    </row>
    <row r="71" spans="1:5" ht="14.25">
      <c r="A71" s="5"/>
      <c r="B71" s="458" t="s">
        <v>441</v>
      </c>
      <c r="C71" s="11" t="s">
        <v>278</v>
      </c>
      <c r="D71" s="110">
        <f>+'MAYOR Y BALANCE'!N226</f>
        <v>15969991</v>
      </c>
      <c r="E71" s="6"/>
    </row>
    <row r="72" spans="1:5" ht="14.25">
      <c r="A72" s="5"/>
      <c r="B72" s="458" t="s">
        <v>442</v>
      </c>
      <c r="C72" s="2" t="s">
        <v>303</v>
      </c>
      <c r="D72" s="110">
        <f>+'MAYOR Y BALANCE'!N227</f>
        <v>83984654</v>
      </c>
      <c r="E72" s="6"/>
    </row>
    <row r="73" spans="1:5">
      <c r="A73" s="5"/>
      <c r="B73" s="465">
        <v>5.9</v>
      </c>
      <c r="C73" s="466" t="s">
        <v>439</v>
      </c>
      <c r="D73" s="467">
        <f>+D74</f>
        <v>-2398923563</v>
      </c>
      <c r="E73" s="6"/>
    </row>
    <row r="74" spans="1:5">
      <c r="A74" s="5"/>
      <c r="B74" s="465" t="s">
        <v>437</v>
      </c>
      <c r="C74" s="466" t="s">
        <v>439</v>
      </c>
      <c r="D74" s="467">
        <f>+D75</f>
        <v>-2398923563</v>
      </c>
      <c r="E74" s="6"/>
    </row>
    <row r="75" spans="1:5" ht="14.25">
      <c r="A75" s="5"/>
      <c r="B75" s="468" t="s">
        <v>438</v>
      </c>
      <c r="C75" s="469" t="s">
        <v>440</v>
      </c>
      <c r="D75" s="470">
        <v>-2398923563</v>
      </c>
      <c r="E75" s="6"/>
    </row>
    <row r="76" spans="1:5" ht="21.75" customHeight="1">
      <c r="A76" s="5"/>
      <c r="B76" s="415"/>
      <c r="E76" s="6"/>
    </row>
    <row r="77" spans="1:5">
      <c r="A77" s="5"/>
      <c r="B77" s="415"/>
      <c r="E77" s="6"/>
    </row>
    <row r="78" spans="1:5">
      <c r="A78" s="5"/>
      <c r="B78" s="415"/>
      <c r="C78" s="121" t="s">
        <v>283</v>
      </c>
      <c r="D78" s="132"/>
      <c r="E78" s="6"/>
    </row>
    <row r="79" spans="1:5">
      <c r="A79" s="5"/>
      <c r="B79" s="415"/>
      <c r="C79" s="132" t="s">
        <v>385</v>
      </c>
      <c r="D79" s="132"/>
      <c r="E79" s="6"/>
    </row>
    <row r="80" spans="1:5">
      <c r="A80" s="5"/>
      <c r="B80" s="415"/>
      <c r="C80" s="132" t="s">
        <v>247</v>
      </c>
      <c r="D80" s="132"/>
      <c r="E80" s="6"/>
    </row>
    <row r="81" spans="1:5">
      <c r="A81" s="5"/>
      <c r="B81" s="415"/>
      <c r="E81" s="6"/>
    </row>
    <row r="82" spans="1:5">
      <c r="A82" s="5"/>
      <c r="B82" s="463" t="s">
        <v>218</v>
      </c>
      <c r="D82" s="121"/>
      <c r="E82" s="6"/>
    </row>
    <row r="83" spans="1:5" ht="15">
      <c r="A83" s="5"/>
      <c r="B83" s="463" t="s">
        <v>248</v>
      </c>
      <c r="D83" s="567"/>
      <c r="E83" s="569"/>
    </row>
    <row r="84" spans="1:5" ht="14.25" thickBot="1">
      <c r="A84" s="126"/>
      <c r="B84" s="464" t="s">
        <v>249</v>
      </c>
      <c r="C84" s="32"/>
      <c r="D84" s="282" t="s">
        <v>310</v>
      </c>
      <c r="E84" s="13"/>
    </row>
    <row r="85" spans="1:5" ht="14.25" thickBot="1">
      <c r="A85" s="144"/>
      <c r="B85" s="417"/>
      <c r="C85" s="32"/>
      <c r="D85" s="32"/>
      <c r="E85" s="405"/>
    </row>
    <row r="86" spans="1:5" ht="14.25" thickBot="1">
      <c r="A86" s="126"/>
      <c r="B86" s="422"/>
      <c r="C86" s="32"/>
      <c r="D86" s="32"/>
      <c r="E86" s="13"/>
    </row>
  </sheetData>
  <mergeCells count="6">
    <mergeCell ref="D83:E83"/>
    <mergeCell ref="B1:D1"/>
    <mergeCell ref="B2:D2"/>
    <mergeCell ref="B3:D3"/>
    <mergeCell ref="B4:D4"/>
    <mergeCell ref="B7:C7"/>
  </mergeCells>
  <pageMargins left="1.1811023622047201" right="0.70866141732283505" top="0.25" bottom="0.25" header="0.31496062992126" footer="0.31496062992126"/>
  <pageSetup paperSize="5" scale="65" orientation="portrait" r:id="rId1"/>
  <headerFooter>
    <oddFooter>&amp;L&amp;12&amp;K0070C0&amp;A&amp;11&amp;K01+000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topLeftCell="A67" zoomScale="106" zoomScaleNormal="106" workbookViewId="0">
      <selection activeCell="I21" sqref="I21"/>
    </sheetView>
  </sheetViews>
  <sheetFormatPr baseColWidth="10" defaultRowHeight="15"/>
  <cols>
    <col min="1" max="1" width="2.5703125" customWidth="1"/>
    <col min="2" max="2" width="6.85546875" style="480" customWidth="1"/>
    <col min="3" max="3" width="24.42578125" customWidth="1"/>
    <col min="4" max="5" width="12.28515625" customWidth="1"/>
    <col min="6" max="6" width="12.85546875" customWidth="1"/>
    <col min="7" max="7" width="7.85546875" customWidth="1"/>
    <col min="8" max="8" width="2.5703125" customWidth="1"/>
  </cols>
  <sheetData>
    <row r="1" spans="1:8">
      <c r="A1" s="214"/>
      <c r="B1" s="471"/>
      <c r="C1" s="215"/>
      <c r="D1" s="215"/>
      <c r="E1" s="215"/>
      <c r="F1" s="215"/>
      <c r="G1" s="193"/>
      <c r="H1" s="216"/>
    </row>
    <row r="2" spans="1:8">
      <c r="A2" s="217"/>
      <c r="B2" s="583" t="s">
        <v>268</v>
      </c>
      <c r="C2" s="584"/>
      <c r="D2" s="584"/>
      <c r="E2" s="584"/>
      <c r="F2" s="585"/>
      <c r="G2" s="586"/>
      <c r="H2" s="218"/>
    </row>
    <row r="3" spans="1:8">
      <c r="A3" s="217"/>
      <c r="B3" s="587" t="s">
        <v>165</v>
      </c>
      <c r="C3" s="588"/>
      <c r="D3" s="588"/>
      <c r="E3" s="588"/>
      <c r="F3" s="589"/>
      <c r="G3" s="590"/>
      <c r="H3" s="218"/>
    </row>
    <row r="4" spans="1:8">
      <c r="A4" s="217"/>
      <c r="B4" s="587" t="s">
        <v>260</v>
      </c>
      <c r="C4" s="588"/>
      <c r="D4" s="588"/>
      <c r="E4" s="588"/>
      <c r="F4" s="589"/>
      <c r="G4" s="590"/>
      <c r="H4" s="218"/>
    </row>
    <row r="5" spans="1:8">
      <c r="A5" s="217"/>
      <c r="B5" s="591" t="s">
        <v>304</v>
      </c>
      <c r="C5" s="592"/>
      <c r="D5" s="592"/>
      <c r="E5" s="592"/>
      <c r="F5" s="593"/>
      <c r="G5" s="594"/>
      <c r="H5" s="218"/>
    </row>
    <row r="6" spans="1:8" ht="15.75">
      <c r="A6" s="217"/>
      <c r="B6" s="472"/>
      <c r="C6" s="145"/>
      <c r="D6" s="597" t="s">
        <v>274</v>
      </c>
      <c r="E6" s="598"/>
      <c r="F6" s="219"/>
      <c r="G6" s="207"/>
      <c r="H6" s="218"/>
    </row>
    <row r="7" spans="1:8" ht="15.75">
      <c r="A7" s="217"/>
      <c r="B7" s="472"/>
      <c r="C7" s="145"/>
      <c r="D7" s="150">
        <v>2022</v>
      </c>
      <c r="E7" s="150">
        <v>2021</v>
      </c>
      <c r="F7" s="150" t="s">
        <v>384</v>
      </c>
      <c r="G7" s="208" t="s">
        <v>258</v>
      </c>
      <c r="H7" s="218"/>
    </row>
    <row r="8" spans="1:8">
      <c r="A8" s="217"/>
      <c r="B8" s="473">
        <v>4</v>
      </c>
      <c r="C8" s="220" t="s">
        <v>58</v>
      </c>
      <c r="D8" s="221">
        <f>D9</f>
        <v>124483634.90000001</v>
      </c>
      <c r="E8" s="491">
        <f>E9</f>
        <v>2939991390</v>
      </c>
      <c r="F8" s="222">
        <f>F9</f>
        <v>-2815915866.0999999</v>
      </c>
      <c r="G8" s="194">
        <f>G9</f>
        <v>100</v>
      </c>
      <c r="H8" s="218"/>
    </row>
    <row r="9" spans="1:8">
      <c r="A9" s="217"/>
      <c r="B9" s="595" t="s">
        <v>271</v>
      </c>
      <c r="C9" s="596"/>
      <c r="D9" s="223">
        <f>+D10+D13</f>
        <v>124483634.90000001</v>
      </c>
      <c r="E9" s="223">
        <f>+E10+E13</f>
        <v>2939991390</v>
      </c>
      <c r="F9" s="223">
        <f>+F10+F13</f>
        <v>-2815915866.0999999</v>
      </c>
      <c r="G9" s="195">
        <f>+G10+G13</f>
        <v>100</v>
      </c>
      <c r="H9" s="218"/>
    </row>
    <row r="10" spans="1:8">
      <c r="A10" s="217"/>
      <c r="B10" s="474">
        <v>4.4000000000000004</v>
      </c>
      <c r="C10" s="226" t="s">
        <v>60</v>
      </c>
      <c r="D10" s="227">
        <f>+D11</f>
        <v>0</v>
      </c>
      <c r="E10" s="227">
        <f>+E11</f>
        <v>0</v>
      </c>
      <c r="F10" s="227">
        <f>+F11</f>
        <v>0</v>
      </c>
      <c r="G10" s="197">
        <f>+G11</f>
        <v>0</v>
      </c>
      <c r="H10" s="218"/>
    </row>
    <row r="11" spans="1:8">
      <c r="A11" s="217"/>
      <c r="B11" s="475" t="s">
        <v>388</v>
      </c>
      <c r="C11" s="230" t="s">
        <v>61</v>
      </c>
      <c r="D11" s="227">
        <f>D12</f>
        <v>0</v>
      </c>
      <c r="E11" s="227">
        <f>E12</f>
        <v>0</v>
      </c>
      <c r="F11" s="227">
        <f>F12</f>
        <v>0</v>
      </c>
      <c r="G11" s="197">
        <f>G12</f>
        <v>0</v>
      </c>
      <c r="H11" s="218"/>
    </row>
    <row r="12" spans="1:8" ht="15.75">
      <c r="A12" s="217"/>
      <c r="B12" s="475" t="s">
        <v>390</v>
      </c>
      <c r="C12" s="231" t="s">
        <v>63</v>
      </c>
      <c r="D12" s="225">
        <v>0</v>
      </c>
      <c r="E12" s="225">
        <v>0</v>
      </c>
      <c r="F12" s="263">
        <f>+D12-E12</f>
        <v>0</v>
      </c>
      <c r="G12" s="199">
        <f>+F12*100/F8</f>
        <v>0</v>
      </c>
      <c r="H12" s="218"/>
    </row>
    <row r="13" spans="1:8">
      <c r="A13" s="217"/>
      <c r="B13" s="474">
        <v>4.8</v>
      </c>
      <c r="C13" s="226" t="s">
        <v>64</v>
      </c>
      <c r="D13" s="227">
        <f>+D14+D18</f>
        <v>124483634.90000001</v>
      </c>
      <c r="E13" s="228">
        <f>+E14+E18</f>
        <v>2939991390</v>
      </c>
      <c r="F13" s="229">
        <f>+F14+F18</f>
        <v>-2815915866.0999999</v>
      </c>
      <c r="G13" s="197">
        <f>+G14+G18</f>
        <v>100</v>
      </c>
      <c r="H13" s="218"/>
    </row>
    <row r="14" spans="1:8">
      <c r="A14" s="217"/>
      <c r="B14" s="475" t="s">
        <v>391</v>
      </c>
      <c r="C14" s="230" t="s">
        <v>65</v>
      </c>
      <c r="D14" s="227">
        <f>SUM(D15:D17)</f>
        <v>408620.9</v>
      </c>
      <c r="E14" s="227">
        <f>SUM(E15:E17)</f>
        <v>430</v>
      </c>
      <c r="F14" s="229">
        <f>+F15</f>
        <v>79.899999999999977</v>
      </c>
      <c r="G14" s="197">
        <f>+G15</f>
        <v>-2.837442729091912E-6</v>
      </c>
      <c r="H14" s="218"/>
    </row>
    <row r="15" spans="1:8" ht="15.75">
      <c r="A15" s="217"/>
      <c r="B15" s="476" t="s">
        <v>392</v>
      </c>
      <c r="C15" s="231" t="s">
        <v>66</v>
      </c>
      <c r="D15" s="225">
        <f>+'MAYOR Y BALANCE'!O139</f>
        <v>509.9</v>
      </c>
      <c r="E15" s="232">
        <v>430</v>
      </c>
      <c r="F15" s="233">
        <f>+D15-E15</f>
        <v>79.899999999999977</v>
      </c>
      <c r="G15" s="196">
        <f>+F15*100/F8</f>
        <v>-2.837442729091912E-6</v>
      </c>
      <c r="H15" s="218"/>
    </row>
    <row r="16" spans="1:8" ht="15.75">
      <c r="A16" s="217"/>
      <c r="B16" s="476" t="s">
        <v>393</v>
      </c>
      <c r="C16" s="231" t="s">
        <v>286</v>
      </c>
      <c r="D16" s="225">
        <f>+'MAYOR Y BALANCE'!O140</f>
        <v>342950</v>
      </c>
      <c r="E16" s="232">
        <v>0</v>
      </c>
      <c r="F16" s="233"/>
      <c r="G16" s="196"/>
      <c r="H16" s="218"/>
    </row>
    <row r="17" spans="1:8" ht="15.75">
      <c r="A17" s="217"/>
      <c r="B17" s="476" t="s">
        <v>394</v>
      </c>
      <c r="C17" s="231" t="s">
        <v>287</v>
      </c>
      <c r="D17" s="225">
        <f>+'MAYOR Y BALANCE'!O141</f>
        <v>65161</v>
      </c>
      <c r="E17" s="232">
        <v>0</v>
      </c>
      <c r="F17" s="233"/>
      <c r="G17" s="196"/>
      <c r="H17" s="218"/>
    </row>
    <row r="18" spans="1:8">
      <c r="A18" s="217"/>
      <c r="B18" s="475" t="s">
        <v>395</v>
      </c>
      <c r="C18" s="230" t="s">
        <v>214</v>
      </c>
      <c r="D18" s="227">
        <f>SUM(D19:D20)</f>
        <v>124075014</v>
      </c>
      <c r="E18" s="227">
        <f>SUM(E19:E20)</f>
        <v>2939990960</v>
      </c>
      <c r="F18" s="227">
        <f>SUM(F19:F20)</f>
        <v>-2815915946</v>
      </c>
      <c r="G18" s="234">
        <f>SUM(G19:G20)</f>
        <v>100.00000283744274</v>
      </c>
      <c r="H18" s="218"/>
    </row>
    <row r="19" spans="1:8" ht="15.75">
      <c r="A19" s="217"/>
      <c r="B19" s="476" t="s">
        <v>443</v>
      </c>
      <c r="C19" s="231" t="s">
        <v>261</v>
      </c>
      <c r="D19" s="225">
        <v>0</v>
      </c>
      <c r="E19" s="232">
        <v>0</v>
      </c>
      <c r="F19" s="233">
        <f>+D19-E19</f>
        <v>0</v>
      </c>
      <c r="G19" s="198">
        <f>+F19*100/F8</f>
        <v>0</v>
      </c>
      <c r="H19" s="218"/>
    </row>
    <row r="20" spans="1:8" ht="15.75">
      <c r="A20" s="217"/>
      <c r="B20" s="476" t="s">
        <v>444</v>
      </c>
      <c r="C20" s="145" t="s">
        <v>245</v>
      </c>
      <c r="D20" s="225">
        <f>+'MAYOR Y BALANCE'!O144</f>
        <v>124075014</v>
      </c>
      <c r="E20" s="235">
        <v>2939990960</v>
      </c>
      <c r="F20" s="236">
        <f>+D20-E20</f>
        <v>-2815915946</v>
      </c>
      <c r="G20" s="196">
        <f>+F20*100/F9</f>
        <v>100.00000283744274</v>
      </c>
      <c r="H20" s="218"/>
    </row>
    <row r="21" spans="1:8">
      <c r="A21" s="217"/>
      <c r="B21" s="477">
        <v>5</v>
      </c>
      <c r="C21" s="237" t="s">
        <v>68</v>
      </c>
      <c r="D21" s="238">
        <f>+D22+D63+D69</f>
        <v>124483635.12320805</v>
      </c>
      <c r="E21" s="238">
        <f>+E22+E63+E69</f>
        <v>2939991390.4099998</v>
      </c>
      <c r="F21" s="238">
        <f>+F22+F63+F69</f>
        <v>-2815507755.2867918</v>
      </c>
      <c r="G21" s="490">
        <f>+G22+G63+G69</f>
        <v>100</v>
      </c>
      <c r="H21" s="218"/>
    </row>
    <row r="22" spans="1:8">
      <c r="A22" s="217"/>
      <c r="B22" s="474">
        <v>5.0999999999999996</v>
      </c>
      <c r="C22" s="226" t="s">
        <v>69</v>
      </c>
      <c r="D22" s="241">
        <f>+D23+D27+D30+D34+D37+D44+D47+D59</f>
        <v>2423452553.123208</v>
      </c>
      <c r="E22" s="242">
        <f>+E23+E27+E30+E34+E37+E44+E47+E59</f>
        <v>2234127129.4099998</v>
      </c>
      <c r="F22" s="243">
        <f>+F23+F27+F30+F34+F37+F44+F47+F59</f>
        <v>189325423.71320832</v>
      </c>
      <c r="G22" s="200">
        <f>+F22*100/F21</f>
        <v>-6.7243794075048937</v>
      </c>
      <c r="H22" s="218"/>
    </row>
    <row r="23" spans="1:8">
      <c r="A23" s="217"/>
      <c r="B23" s="475" t="s">
        <v>396</v>
      </c>
      <c r="C23" s="230" t="s">
        <v>70</v>
      </c>
      <c r="D23" s="224">
        <f>SUM(D24:D26)</f>
        <v>677358771</v>
      </c>
      <c r="E23" s="239">
        <f>SUM(E24:E26)</f>
        <v>641517932</v>
      </c>
      <c r="F23" s="240">
        <f>SUM(F24:F26)</f>
        <v>35840839</v>
      </c>
      <c r="G23" s="201">
        <f>+F23*100/F22</f>
        <v>18.93081145524966</v>
      </c>
      <c r="H23" s="218"/>
    </row>
    <row r="24" spans="1:8" ht="15.75">
      <c r="A24" s="217"/>
      <c r="B24" s="476" t="s">
        <v>397</v>
      </c>
      <c r="C24" s="231" t="s">
        <v>71</v>
      </c>
      <c r="D24" s="225">
        <f>+'MAYOR Y BALANCE'!N148</f>
        <v>633956537</v>
      </c>
      <c r="E24" s="244">
        <v>594627768</v>
      </c>
      <c r="F24" s="233">
        <f>+D24-E24</f>
        <v>39328769</v>
      </c>
      <c r="G24" s="196">
        <f>+F24*100/F23</f>
        <v>109.73171972899407</v>
      </c>
      <c r="H24" s="218"/>
    </row>
    <row r="25" spans="1:8" ht="15.75">
      <c r="A25" s="217"/>
      <c r="B25" s="476" t="s">
        <v>398</v>
      </c>
      <c r="C25" s="231" t="s">
        <v>72</v>
      </c>
      <c r="D25" s="225">
        <f>+'MAYOR Y BALANCE'!N149</f>
        <v>23478808</v>
      </c>
      <c r="E25" s="244">
        <v>23544393</v>
      </c>
      <c r="F25" s="233">
        <f>+D25-E25</f>
        <v>-65585</v>
      </c>
      <c r="G25" s="196">
        <f>+F25*100/F23</f>
        <v>-0.18298957789464695</v>
      </c>
      <c r="H25" s="218"/>
    </row>
    <row r="26" spans="1:8" ht="15.75">
      <c r="A26" s="217"/>
      <c r="B26" s="476" t="s">
        <v>399</v>
      </c>
      <c r="C26" s="231" t="s">
        <v>186</v>
      </c>
      <c r="D26" s="225">
        <f>+'MAYOR Y BALANCE'!N150</f>
        <v>19923426</v>
      </c>
      <c r="E26" s="244">
        <v>23345771</v>
      </c>
      <c r="F26" s="233">
        <f>+D26-E26</f>
        <v>-3422345</v>
      </c>
      <c r="G26" s="196">
        <f>+F26*100/F23</f>
        <v>-9.54873015109942</v>
      </c>
      <c r="H26" s="218"/>
    </row>
    <row r="27" spans="1:8">
      <c r="A27" s="217"/>
      <c r="B27" s="475" t="s">
        <v>400</v>
      </c>
      <c r="C27" s="230" t="s">
        <v>81</v>
      </c>
      <c r="D27" s="224">
        <f>SUM(D28:D29)</f>
        <v>121732777.732539</v>
      </c>
      <c r="E27" s="224">
        <f>SUM(E28:E29)</f>
        <v>75835588</v>
      </c>
      <c r="F27" s="224">
        <f>SUM(F28:F29)</f>
        <v>45897189.732538998</v>
      </c>
      <c r="G27" s="201">
        <f>+F27*100/F22</f>
        <v>24.242486208331126</v>
      </c>
      <c r="H27" s="218"/>
    </row>
    <row r="28" spans="1:8" ht="15.75">
      <c r="A28" s="217"/>
      <c r="B28" s="476" t="s">
        <v>401</v>
      </c>
      <c r="C28" s="231" t="s">
        <v>279</v>
      </c>
      <c r="D28" s="225">
        <f>+'MAYOR Y BALANCE'!N157</f>
        <v>40090360</v>
      </c>
      <c r="E28" s="244">
        <v>0</v>
      </c>
      <c r="F28" s="233">
        <f>+D28-E28</f>
        <v>40090360</v>
      </c>
      <c r="G28" s="196">
        <f>+F28*100/F27</f>
        <v>87.348180212388428</v>
      </c>
      <c r="H28" s="218"/>
    </row>
    <row r="29" spans="1:8" ht="15.75">
      <c r="A29" s="217"/>
      <c r="B29" s="476" t="s">
        <v>402</v>
      </c>
      <c r="C29" s="231" t="s">
        <v>82</v>
      </c>
      <c r="D29" s="225">
        <f>+'MAYOR Y BALANCE'!N158</f>
        <v>81642417.732538998</v>
      </c>
      <c r="E29" s="244">
        <v>75835588</v>
      </c>
      <c r="F29" s="233">
        <f>+D29-E29</f>
        <v>5806829.7325389981</v>
      </c>
      <c r="G29" s="196">
        <f>+F29*100/F27</f>
        <v>12.651819787611577</v>
      </c>
      <c r="H29" s="218"/>
    </row>
    <row r="30" spans="1:8">
      <c r="A30" s="217"/>
      <c r="B30" s="475" t="s">
        <v>403</v>
      </c>
      <c r="C30" s="230" t="s">
        <v>83</v>
      </c>
      <c r="D30" s="224">
        <f>SUM(D31:D33)</f>
        <v>100500141.39066933</v>
      </c>
      <c r="E30" s="239">
        <f t="shared" ref="E30:F30" si="0">SUM(E31:E33)</f>
        <v>93912365</v>
      </c>
      <c r="F30" s="240">
        <f t="shared" si="0"/>
        <v>6587776.390669331</v>
      </c>
      <c r="G30" s="201">
        <f>+F30*100/F22</f>
        <v>3.4796047258019338</v>
      </c>
      <c r="H30" s="218"/>
    </row>
    <row r="31" spans="1:8" ht="15.75">
      <c r="A31" s="217"/>
      <c r="B31" s="476" t="s">
        <v>404</v>
      </c>
      <c r="C31" s="231" t="s">
        <v>84</v>
      </c>
      <c r="D31" s="225">
        <f>+'MAYOR Y BALANCE'!N160</f>
        <v>26691300</v>
      </c>
      <c r="E31" s="244">
        <v>25064500</v>
      </c>
      <c r="F31" s="233">
        <f>+D31-E31</f>
        <v>1626800</v>
      </c>
      <c r="G31" s="196">
        <f>+F31*100/F30</f>
        <v>24.6942200755954</v>
      </c>
      <c r="H31" s="218"/>
    </row>
    <row r="32" spans="1:8" ht="15.75">
      <c r="A32" s="217"/>
      <c r="B32" s="476" t="s">
        <v>405</v>
      </c>
      <c r="C32" s="231" t="s">
        <v>131</v>
      </c>
      <c r="D32" s="225">
        <f>+'MAYOR Y BALANCE'!N161</f>
        <v>58016441.390669331</v>
      </c>
      <c r="E32" s="244">
        <v>53992465</v>
      </c>
      <c r="F32" s="233">
        <f>+D32-E32</f>
        <v>4023976.390669331</v>
      </c>
      <c r="G32" s="196">
        <f>+F32*100/F30</f>
        <v>61.082467771200214</v>
      </c>
      <c r="H32" s="218"/>
    </row>
    <row r="33" spans="1:8" ht="15.75">
      <c r="A33" s="217"/>
      <c r="B33" s="476" t="s">
        <v>406</v>
      </c>
      <c r="C33" s="231" t="s">
        <v>85</v>
      </c>
      <c r="D33" s="225">
        <f>+'MAYOR Y BALANCE'!N162</f>
        <v>15792400</v>
      </c>
      <c r="E33" s="244">
        <v>14855400</v>
      </c>
      <c r="F33" s="233">
        <f>+D33-E33</f>
        <v>937000</v>
      </c>
      <c r="G33" s="196">
        <f>+F33*100/F30</f>
        <v>14.223312153204382</v>
      </c>
      <c r="H33" s="218"/>
    </row>
    <row r="34" spans="1:8">
      <c r="A34" s="217"/>
      <c r="B34" s="475" t="s">
        <v>407</v>
      </c>
      <c r="C34" s="230" t="s">
        <v>132</v>
      </c>
      <c r="D34" s="224">
        <f>SUM(D35:D36)</f>
        <v>33231600</v>
      </c>
      <c r="E34" s="239">
        <f t="shared" ref="E34:F34" si="1">SUM(E35:E36)</f>
        <v>29348200</v>
      </c>
      <c r="F34" s="240">
        <f t="shared" si="1"/>
        <v>3883400</v>
      </c>
      <c r="G34" s="201">
        <f>+F34*100/F22</f>
        <v>2.0511772396097241</v>
      </c>
      <c r="H34" s="218"/>
    </row>
    <row r="35" spans="1:8" ht="15.75">
      <c r="A35" s="217"/>
      <c r="B35" s="476" t="s">
        <v>408</v>
      </c>
      <c r="C35" s="231" t="s">
        <v>133</v>
      </c>
      <c r="D35" s="225">
        <f>+'MAYOR Y BALANCE'!N164</f>
        <v>20019000</v>
      </c>
      <c r="E35" s="244">
        <v>18800800</v>
      </c>
      <c r="F35" s="233">
        <f>+D35-E35</f>
        <v>1218200</v>
      </c>
      <c r="G35" s="196">
        <f>+F35*100/F34</f>
        <v>31.369418550754492</v>
      </c>
      <c r="H35" s="218"/>
    </row>
    <row r="36" spans="1:8" ht="15.75">
      <c r="A36" s="217"/>
      <c r="B36" s="476" t="s">
        <v>409</v>
      </c>
      <c r="C36" s="231" t="s">
        <v>134</v>
      </c>
      <c r="D36" s="225">
        <f>+'MAYOR Y BALANCE'!N165</f>
        <v>13212600</v>
      </c>
      <c r="E36" s="244">
        <v>10547400</v>
      </c>
      <c r="F36" s="233">
        <f>+D36-E36</f>
        <v>2665200</v>
      </c>
      <c r="G36" s="196">
        <f>+F36*100/F34</f>
        <v>68.630581449245511</v>
      </c>
      <c r="H36" s="218"/>
    </row>
    <row r="37" spans="1:8">
      <c r="A37" s="217"/>
      <c r="B37" s="475" t="s">
        <v>410</v>
      </c>
      <c r="C37" s="230" t="s">
        <v>187</v>
      </c>
      <c r="D37" s="224">
        <f>SUM(D38:D43)</f>
        <v>233727773</v>
      </c>
      <c r="E37" s="239">
        <f t="shared" ref="E37:F37" si="2">SUM(E38:E43)</f>
        <v>281950302</v>
      </c>
      <c r="F37" s="240">
        <f t="shared" si="2"/>
        <v>-48222529</v>
      </c>
      <c r="G37" s="201">
        <f>+F37*100/F22</f>
        <v>-25.470709667100959</v>
      </c>
      <c r="H37" s="218"/>
    </row>
    <row r="38" spans="1:8" ht="15.75">
      <c r="A38" s="217"/>
      <c r="B38" s="476" t="s">
        <v>411</v>
      </c>
      <c r="C38" s="231" t="s">
        <v>220</v>
      </c>
      <c r="D38" s="225">
        <f>+'MAYOR Y BALANCE'!N167</f>
        <v>41776698</v>
      </c>
      <c r="E38" s="244">
        <v>39727223</v>
      </c>
      <c r="F38" s="233">
        <f t="shared" ref="F38:F43" si="3">+D38-E38</f>
        <v>2049475</v>
      </c>
      <c r="G38" s="196">
        <f>+F38*100/F37</f>
        <v>-4.250036326381804</v>
      </c>
      <c r="H38" s="218"/>
    </row>
    <row r="39" spans="1:8" ht="15.75">
      <c r="A39" s="217"/>
      <c r="B39" s="476" t="s">
        <v>412</v>
      </c>
      <c r="C39" s="231" t="s">
        <v>144</v>
      </c>
      <c r="D39" s="225">
        <f>+'MAYOR Y BALANCE'!N168</f>
        <v>66925211</v>
      </c>
      <c r="E39" s="244">
        <v>116286680</v>
      </c>
      <c r="F39" s="233">
        <f t="shared" si="3"/>
        <v>-49361469</v>
      </c>
      <c r="G39" s="196">
        <f>+F39*100/F37</f>
        <v>102.36184211740533</v>
      </c>
      <c r="H39" s="218"/>
    </row>
    <row r="40" spans="1:8" ht="15.75">
      <c r="A40" s="217"/>
      <c r="B40" s="476" t="s">
        <v>413</v>
      </c>
      <c r="C40" s="231" t="s">
        <v>221</v>
      </c>
      <c r="D40" s="225">
        <f>+'MAYOR Y BALANCE'!N169</f>
        <v>8031025</v>
      </c>
      <c r="E40" s="244">
        <v>13488509</v>
      </c>
      <c r="F40" s="233">
        <f t="shared" si="3"/>
        <v>-5457484</v>
      </c>
      <c r="G40" s="196">
        <f>+F40*100/F37</f>
        <v>11.317291135850631</v>
      </c>
      <c r="H40" s="218"/>
    </row>
    <row r="41" spans="1:8" ht="15.75">
      <c r="A41" s="217"/>
      <c r="B41" s="476" t="s">
        <v>414</v>
      </c>
      <c r="C41" s="231" t="s">
        <v>73</v>
      </c>
      <c r="D41" s="225">
        <f>+'MAYOR Y BALANCE'!N170</f>
        <v>26025418</v>
      </c>
      <c r="E41" s="244">
        <v>29216056</v>
      </c>
      <c r="F41" s="233">
        <f t="shared" si="3"/>
        <v>-3190638</v>
      </c>
      <c r="G41" s="196">
        <f>+F41*100/F37</f>
        <v>6.6164883222943365</v>
      </c>
      <c r="H41" s="218"/>
    </row>
    <row r="42" spans="1:8" ht="15.75">
      <c r="A42" s="217"/>
      <c r="B42" s="476" t="s">
        <v>415</v>
      </c>
      <c r="C42" s="231" t="s">
        <v>197</v>
      </c>
      <c r="D42" s="225">
        <f>+'MAYOR Y BALANCE'!N171</f>
        <v>61793917</v>
      </c>
      <c r="E42" s="244">
        <v>57629898</v>
      </c>
      <c r="F42" s="233">
        <f t="shared" si="3"/>
        <v>4164019</v>
      </c>
      <c r="G42" s="196">
        <f>+F42*100/F37</f>
        <v>-8.6350075086273463</v>
      </c>
      <c r="H42" s="218"/>
    </row>
    <row r="43" spans="1:8" ht="15.75">
      <c r="A43" s="217"/>
      <c r="B43" s="476" t="s">
        <v>416</v>
      </c>
      <c r="C43" s="231" t="s">
        <v>80</v>
      </c>
      <c r="D43" s="225">
        <f>+'MAYOR Y BALANCE'!N172</f>
        <v>29175504</v>
      </c>
      <c r="E43" s="244">
        <v>25601936</v>
      </c>
      <c r="F43" s="233">
        <f t="shared" si="3"/>
        <v>3573568</v>
      </c>
      <c r="G43" s="196">
        <f>+F43*100/F37</f>
        <v>-7.4105777405411484</v>
      </c>
      <c r="H43" s="218"/>
    </row>
    <row r="44" spans="1:8">
      <c r="A44" s="217"/>
      <c r="B44" s="475" t="s">
        <v>417</v>
      </c>
      <c r="C44" s="230" t="s">
        <v>222</v>
      </c>
      <c r="D44" s="224">
        <f>SUM(D45:D46)</f>
        <v>729751265</v>
      </c>
      <c r="E44" s="239">
        <f t="shared" ref="E44:F44" si="4">SUM(E45:E46)</f>
        <v>717323932</v>
      </c>
      <c r="F44" s="240">
        <f t="shared" si="4"/>
        <v>12427333</v>
      </c>
      <c r="G44" s="201">
        <f>+F44*100/F22</f>
        <v>6.5640064373103026</v>
      </c>
      <c r="H44" s="218"/>
    </row>
    <row r="45" spans="1:8" ht="15.75">
      <c r="A45" s="217"/>
      <c r="B45" s="476" t="s">
        <v>418</v>
      </c>
      <c r="C45" s="231" t="s">
        <v>223</v>
      </c>
      <c r="D45" s="225">
        <f>+'MAYOR Y BALANCE'!N175</f>
        <v>0</v>
      </c>
      <c r="E45" s="244">
        <v>717323932</v>
      </c>
      <c r="F45" s="233">
        <f>+D45-E45</f>
        <v>-717323932</v>
      </c>
      <c r="G45" s="196">
        <f>+F45*100/F44</f>
        <v>-5772.1470246270865</v>
      </c>
      <c r="H45" s="218"/>
    </row>
    <row r="46" spans="1:8" ht="15.75">
      <c r="A46" s="217"/>
      <c r="B46" s="476" t="s">
        <v>419</v>
      </c>
      <c r="C46" s="231" t="s">
        <v>19</v>
      </c>
      <c r="D46" s="225">
        <f>+'MAYOR Y BALANCE'!N176</f>
        <v>729751265</v>
      </c>
      <c r="E46" s="244">
        <v>0</v>
      </c>
      <c r="F46" s="233">
        <f>+D46-E46</f>
        <v>729751265</v>
      </c>
      <c r="G46" s="196">
        <f>+F46*100/F44</f>
        <v>5872.1470246270865</v>
      </c>
      <c r="H46" s="218"/>
    </row>
    <row r="47" spans="1:8">
      <c r="A47" s="217"/>
      <c r="B47" s="475" t="s">
        <v>420</v>
      </c>
      <c r="C47" s="230" t="s">
        <v>86</v>
      </c>
      <c r="D47" s="224">
        <f>+D48+D49+D50+D51+D52+D53+D54+D55+D56+D57+D58</f>
        <v>526058331</v>
      </c>
      <c r="E47" s="224">
        <f>+E48+E49+E50+E51+E52+E53+E54+E55+E56+E57+E58</f>
        <v>392924258.40999997</v>
      </c>
      <c r="F47" s="240">
        <f>+F48+F49+F50+F51+F52+F53+F54+F55+F56+F57+F58</f>
        <v>133134072.59</v>
      </c>
      <c r="G47" s="201">
        <f>+F47*100/F22</f>
        <v>70.320229570262342</v>
      </c>
      <c r="H47" s="218"/>
    </row>
    <row r="48" spans="1:8" ht="15.75">
      <c r="A48" s="217"/>
      <c r="B48" s="476" t="s">
        <v>421</v>
      </c>
      <c r="C48" s="231" t="s">
        <v>87</v>
      </c>
      <c r="D48" s="225">
        <f>+'MAYOR Y BALANCE'!N178</f>
        <v>168868980</v>
      </c>
      <c r="E48" s="244">
        <v>36939999.409999996</v>
      </c>
      <c r="F48" s="233">
        <f>+D48-E48</f>
        <v>131928980.59</v>
      </c>
      <c r="G48" s="196">
        <f>+F48*100/F47</f>
        <v>99.094828261048391</v>
      </c>
      <c r="H48" s="218"/>
    </row>
    <row r="49" spans="1:8" ht="15.75">
      <c r="A49" s="217"/>
      <c r="B49" s="476" t="s">
        <v>422</v>
      </c>
      <c r="C49" s="231" t="s">
        <v>88</v>
      </c>
      <c r="D49" s="225">
        <f>+'MAYOR Y BALANCE'!N179</f>
        <v>0</v>
      </c>
      <c r="E49" s="244">
        <v>8200000</v>
      </c>
      <c r="F49" s="233">
        <f>+D49-E49</f>
        <v>-8200000</v>
      </c>
      <c r="G49" s="196">
        <f>+F49*100/F47</f>
        <v>-6.1592046577383233</v>
      </c>
      <c r="H49" s="218"/>
    </row>
    <row r="50" spans="1:8" ht="15.75">
      <c r="A50" s="217"/>
      <c r="B50" s="476" t="s">
        <v>423</v>
      </c>
      <c r="C50" s="231" t="s">
        <v>13</v>
      </c>
      <c r="D50" s="225">
        <v>15980111</v>
      </c>
      <c r="E50" s="244">
        <v>15440424</v>
      </c>
      <c r="F50" s="233">
        <f>+D50-E50</f>
        <v>539687</v>
      </c>
      <c r="G50" s="198">
        <f>+F50*100/F47</f>
        <v>0.40537105903912468</v>
      </c>
      <c r="H50" s="218"/>
    </row>
    <row r="51" spans="1:8" ht="15.75">
      <c r="A51" s="217"/>
      <c r="B51" s="476" t="s">
        <v>424</v>
      </c>
      <c r="C51" s="231" t="s">
        <v>28</v>
      </c>
      <c r="D51" s="225">
        <f>+'MAYOR Y BALANCE'!N185</f>
        <v>105583652</v>
      </c>
      <c r="E51" s="244">
        <v>90585200</v>
      </c>
      <c r="F51" s="233">
        <f t="shared" ref="F51:F58" si="5">+D51-E51</f>
        <v>14998452</v>
      </c>
      <c r="G51" s="196">
        <f>+F51*100/F47</f>
        <v>11.265675050885935</v>
      </c>
      <c r="H51" s="218"/>
    </row>
    <row r="52" spans="1:8" ht="15.75">
      <c r="A52" s="217"/>
      <c r="B52" s="476" t="s">
        <v>425</v>
      </c>
      <c r="C52" s="231" t="s">
        <v>14</v>
      </c>
      <c r="D52" s="225">
        <f>+'MAYOR Y BALANCE'!N186</f>
        <v>43127967</v>
      </c>
      <c r="E52" s="244">
        <v>50791324</v>
      </c>
      <c r="F52" s="233">
        <f t="shared" si="5"/>
        <v>-7663357</v>
      </c>
      <c r="G52" s="196">
        <f>+F52*100/F47</f>
        <v>-5.7561200156477534</v>
      </c>
      <c r="H52" s="218"/>
    </row>
    <row r="53" spans="1:8" ht="15.75">
      <c r="A53" s="217"/>
      <c r="B53" s="476" t="s">
        <v>426</v>
      </c>
      <c r="C53" s="231" t="s">
        <v>255</v>
      </c>
      <c r="D53" s="225">
        <f>+'MAYOR Y BALANCE'!N190</f>
        <v>1207664</v>
      </c>
      <c r="E53" s="244">
        <v>679375</v>
      </c>
      <c r="F53" s="233">
        <f t="shared" si="5"/>
        <v>528289</v>
      </c>
      <c r="G53" s="196">
        <f>+F53*100/F47</f>
        <v>0.39680976456486838</v>
      </c>
      <c r="H53" s="218"/>
    </row>
    <row r="54" spans="1:8" ht="15.75">
      <c r="A54" s="217"/>
      <c r="B54" s="476" t="s">
        <v>427</v>
      </c>
      <c r="C54" s="231" t="s">
        <v>95</v>
      </c>
      <c r="D54" s="225">
        <f>+'MAYOR Y BALANCE'!N191</f>
        <v>15807277</v>
      </c>
      <c r="E54" s="244">
        <v>16752221</v>
      </c>
      <c r="F54" s="233">
        <f t="shared" si="5"/>
        <v>-944944</v>
      </c>
      <c r="G54" s="196">
        <f>+F54*100/F47</f>
        <v>-0.70976871781730266</v>
      </c>
      <c r="H54" s="218"/>
    </row>
    <row r="55" spans="1:8" ht="15.75">
      <c r="A55" s="217"/>
      <c r="B55" s="476" t="s">
        <v>428</v>
      </c>
      <c r="C55" s="231" t="s">
        <v>251</v>
      </c>
      <c r="D55" s="225">
        <f>+'MAYOR Y BALANCE'!N192</f>
        <v>23734200</v>
      </c>
      <c r="E55" s="244">
        <v>23799999</v>
      </c>
      <c r="F55" s="233">
        <f t="shared" si="5"/>
        <v>-65799</v>
      </c>
      <c r="G55" s="196">
        <f>+F55*100/F47</f>
        <v>-4.9423110643234625E-2</v>
      </c>
      <c r="H55" s="218"/>
    </row>
    <row r="56" spans="1:8" ht="15.75">
      <c r="A56" s="217"/>
      <c r="B56" s="476" t="s">
        <v>429</v>
      </c>
      <c r="C56" s="231" t="s">
        <v>137</v>
      </c>
      <c r="D56" s="225">
        <f>+'MAYOR Y BALANCE'!N193</f>
        <v>14089500</v>
      </c>
      <c r="E56" s="244">
        <v>2010700</v>
      </c>
      <c r="F56" s="233">
        <f t="shared" si="5"/>
        <v>12078800</v>
      </c>
      <c r="G56" s="196">
        <f>+F56*100/F47</f>
        <v>9.0726586853523976</v>
      </c>
      <c r="H56" s="218"/>
    </row>
    <row r="57" spans="1:8" ht="15.75">
      <c r="A57" s="217"/>
      <c r="B57" s="476" t="s">
        <v>430</v>
      </c>
      <c r="C57" s="231" t="s">
        <v>19</v>
      </c>
      <c r="D57" s="225">
        <f>+'MAYOR Y BALANCE'!N195</f>
        <v>19000000</v>
      </c>
      <c r="E57" s="244">
        <v>34100000</v>
      </c>
      <c r="F57" s="233">
        <f t="shared" si="5"/>
        <v>-15100000</v>
      </c>
      <c r="G57" s="196">
        <f>+F57*100/F47</f>
        <v>-11.341950040469351</v>
      </c>
      <c r="H57" s="218"/>
    </row>
    <row r="58" spans="1:8" ht="15.75">
      <c r="A58" s="217"/>
      <c r="B58" s="476" t="s">
        <v>431</v>
      </c>
      <c r="C58" s="231" t="s">
        <v>96</v>
      </c>
      <c r="D58" s="225">
        <f>+'MAYOR Y BALANCE'!N196</f>
        <v>118658980</v>
      </c>
      <c r="E58" s="244">
        <v>113625016</v>
      </c>
      <c r="F58" s="233">
        <f t="shared" si="5"/>
        <v>5033964</v>
      </c>
      <c r="G58" s="196">
        <f>+F58*100/F47</f>
        <v>3.7811237214252484</v>
      </c>
      <c r="H58" s="218"/>
    </row>
    <row r="59" spans="1:8">
      <c r="A59" s="217"/>
      <c r="B59" s="475" t="s">
        <v>432</v>
      </c>
      <c r="C59" s="230" t="s">
        <v>97</v>
      </c>
      <c r="D59" s="224">
        <f>SUM(D60:D62)</f>
        <v>1091894</v>
      </c>
      <c r="E59" s="239">
        <f>SUM(E60:E62)</f>
        <v>1314552</v>
      </c>
      <c r="F59" s="240">
        <f>SUM(F60:F62)</f>
        <v>-222658</v>
      </c>
      <c r="G59" s="201">
        <f>+F59*100/F22</f>
        <v>-0.11760596946413501</v>
      </c>
      <c r="H59" s="218"/>
    </row>
    <row r="60" spans="1:8" ht="15.75">
      <c r="A60" s="217"/>
      <c r="B60" s="476" t="s">
        <v>433</v>
      </c>
      <c r="C60" s="231" t="s">
        <v>167</v>
      </c>
      <c r="D60" s="225">
        <f>+'MAYOR Y BALANCE'!N199</f>
        <v>670575</v>
      </c>
      <c r="E60" s="244">
        <v>526500</v>
      </c>
      <c r="F60" s="233">
        <f>+D60-E60</f>
        <v>144075</v>
      </c>
      <c r="G60" s="196">
        <f>+F60*100/F59</f>
        <v>-64.706859847838388</v>
      </c>
      <c r="H60" s="218"/>
    </row>
    <row r="61" spans="1:8" ht="15.75">
      <c r="A61" s="217"/>
      <c r="B61" s="476" t="s">
        <v>445</v>
      </c>
      <c r="C61" s="231" t="s">
        <v>263</v>
      </c>
      <c r="D61" s="225">
        <f>+'MAYOR Y BALANCE'!N200</f>
        <v>0</v>
      </c>
      <c r="E61" s="244">
        <v>4000</v>
      </c>
      <c r="F61" s="233">
        <f>+D61-E61</f>
        <v>-4000</v>
      </c>
      <c r="G61" s="196">
        <f>+F61*100/F59</f>
        <v>1.7964771083904463</v>
      </c>
      <c r="H61" s="218"/>
    </row>
    <row r="62" spans="1:8" ht="15.75">
      <c r="A62" s="217"/>
      <c r="B62" s="476" t="s">
        <v>434</v>
      </c>
      <c r="C62" s="231" t="s">
        <v>138</v>
      </c>
      <c r="D62" s="225">
        <f>+'MAYOR Y BALANCE'!N201</f>
        <v>421319</v>
      </c>
      <c r="E62" s="244">
        <v>784052</v>
      </c>
      <c r="F62" s="233">
        <f>+D62-E62</f>
        <v>-362733</v>
      </c>
      <c r="G62" s="196">
        <f>+F62*100/F59</f>
        <v>162.91038273944795</v>
      </c>
      <c r="H62" s="218"/>
    </row>
    <row r="63" spans="1:8">
      <c r="A63" s="217"/>
      <c r="B63" s="474">
        <v>5.8</v>
      </c>
      <c r="C63" s="226" t="s">
        <v>242</v>
      </c>
      <c r="D63" s="224">
        <f>+D64+D66</f>
        <v>99954645</v>
      </c>
      <c r="E63" s="239">
        <f t="shared" ref="E63:F63" si="6">+E64+E66</f>
        <v>372488</v>
      </c>
      <c r="F63" s="229">
        <f t="shared" si="6"/>
        <v>99582157</v>
      </c>
      <c r="G63" s="202">
        <f>+F63*100/F21</f>
        <v>-3.5369164518552858</v>
      </c>
      <c r="H63" s="218"/>
    </row>
    <row r="64" spans="1:8">
      <c r="A64" s="217"/>
      <c r="B64" s="475" t="s">
        <v>446</v>
      </c>
      <c r="C64" s="246" t="s">
        <v>273</v>
      </c>
      <c r="D64" s="224">
        <f>+D65</f>
        <v>0</v>
      </c>
      <c r="E64" s="224">
        <f t="shared" ref="E64:F64" si="7">+E65</f>
        <v>9488</v>
      </c>
      <c r="F64" s="224">
        <f t="shared" si="7"/>
        <v>-9488</v>
      </c>
      <c r="G64" s="264">
        <f>+F64*100/F63</f>
        <v>-9.5278112925390838E-3</v>
      </c>
      <c r="H64" s="218"/>
    </row>
    <row r="65" spans="1:8" ht="15.75">
      <c r="A65" s="217"/>
      <c r="B65" s="476" t="s">
        <v>447</v>
      </c>
      <c r="C65" s="245" t="s">
        <v>272</v>
      </c>
      <c r="D65" s="225">
        <f>+'MAYOR Y BALANCE'!N224</f>
        <v>0</v>
      </c>
      <c r="E65" s="225">
        <v>9488</v>
      </c>
      <c r="F65" s="225">
        <f>+D65-E65</f>
        <v>-9488</v>
      </c>
      <c r="G65" s="196">
        <f>+F65*100/F64</f>
        <v>100</v>
      </c>
      <c r="H65" s="218"/>
    </row>
    <row r="66" spans="1:8">
      <c r="A66" s="217"/>
      <c r="B66" s="475" t="s">
        <v>435</v>
      </c>
      <c r="C66" s="246" t="s">
        <v>212</v>
      </c>
      <c r="D66" s="224">
        <f>SUM(D67:D68)</f>
        <v>99954645</v>
      </c>
      <c r="E66" s="224">
        <f>SUM(E67:E68)</f>
        <v>363000</v>
      </c>
      <c r="F66" s="224">
        <f>SUM(F67:F68)</f>
        <v>99591645</v>
      </c>
      <c r="G66" s="202">
        <f>+F66*100/F63</f>
        <v>100.00952781129254</v>
      </c>
      <c r="H66" s="218"/>
    </row>
    <row r="67" spans="1:8" ht="15.75">
      <c r="A67" s="217"/>
      <c r="B67" s="476" t="s">
        <v>441</v>
      </c>
      <c r="C67" s="231" t="s">
        <v>278</v>
      </c>
      <c r="D67" s="225">
        <f>+'MAYOR Y BALANCE'!N226</f>
        <v>15969991</v>
      </c>
      <c r="E67" s="244">
        <f>'[1]MAYOR Y BALANCE'!L183</f>
        <v>0</v>
      </c>
      <c r="F67" s="233">
        <f>+D67-E67</f>
        <v>15969991</v>
      </c>
      <c r="G67" s="196">
        <f>+F67*100/F66</f>
        <v>16.035472654357701</v>
      </c>
      <c r="H67" s="218"/>
    </row>
    <row r="68" spans="1:8" ht="15.75">
      <c r="A68" s="217"/>
      <c r="B68" s="476" t="s">
        <v>448</v>
      </c>
      <c r="C68" s="231" t="s">
        <v>246</v>
      </c>
      <c r="D68" s="225">
        <f>+'MAYOR Y BALANCE'!N227</f>
        <v>83984654</v>
      </c>
      <c r="E68" s="244">
        <v>363000</v>
      </c>
      <c r="F68" s="233">
        <f>+D68-E68</f>
        <v>83621654</v>
      </c>
      <c r="G68" s="196">
        <f>+F68*100/F66</f>
        <v>83.964527345642296</v>
      </c>
      <c r="H68" s="218"/>
    </row>
    <row r="69" spans="1:8">
      <c r="A69" s="217"/>
      <c r="B69" s="478">
        <v>5.9</v>
      </c>
      <c r="C69" s="481" t="s">
        <v>439</v>
      </c>
      <c r="D69" s="247">
        <f t="shared" ref="D69:F70" si="8">+D70</f>
        <v>-2398923563</v>
      </c>
      <c r="E69" s="247">
        <f t="shared" si="8"/>
        <v>705491773</v>
      </c>
      <c r="F69" s="247">
        <f t="shared" si="8"/>
        <v>-3104415336</v>
      </c>
      <c r="G69" s="488">
        <f>+F69*100/F21</f>
        <v>110.26129585936017</v>
      </c>
      <c r="H69" s="218"/>
    </row>
    <row r="70" spans="1:8">
      <c r="A70" s="217"/>
      <c r="B70" s="487" t="s">
        <v>437</v>
      </c>
      <c r="C70" s="481" t="s">
        <v>439</v>
      </c>
      <c r="D70" s="224">
        <f t="shared" si="8"/>
        <v>-2398923563</v>
      </c>
      <c r="E70" s="224">
        <f t="shared" si="8"/>
        <v>705491773</v>
      </c>
      <c r="F70" s="224">
        <f t="shared" si="8"/>
        <v>-3104415336</v>
      </c>
      <c r="G70" s="488">
        <f>+F70*100/F69</f>
        <v>100</v>
      </c>
      <c r="H70" s="489"/>
    </row>
    <row r="71" spans="1:8" ht="15.75">
      <c r="A71" s="217"/>
      <c r="B71" s="482" t="s">
        <v>438</v>
      </c>
      <c r="C71" s="483" t="s">
        <v>440</v>
      </c>
      <c r="D71" s="484">
        <v>-2398923563</v>
      </c>
      <c r="E71" s="485">
        <v>705491773</v>
      </c>
      <c r="F71" s="492">
        <f>+D71-E71</f>
        <v>-3104415336</v>
      </c>
      <c r="G71" s="486">
        <f>+F71*100/F70</f>
        <v>100</v>
      </c>
      <c r="H71" s="218"/>
    </row>
    <row r="72" spans="1:8">
      <c r="A72" s="217"/>
      <c r="B72" s="478"/>
      <c r="C72" s="250"/>
      <c r="D72" s="247"/>
      <c r="E72" s="248"/>
      <c r="F72" s="249"/>
      <c r="G72" s="203"/>
      <c r="H72" s="218"/>
    </row>
    <row r="73" spans="1:8" ht="15.75" thickBot="1">
      <c r="A73" s="251"/>
      <c r="B73" s="581" t="s">
        <v>194</v>
      </c>
      <c r="C73" s="582"/>
      <c r="D73" s="252">
        <f>+D71</f>
        <v>-2398923563</v>
      </c>
      <c r="E73" s="253">
        <f t="shared" ref="E73:F73" si="9">+E71</f>
        <v>705491773</v>
      </c>
      <c r="F73" s="254">
        <f t="shared" si="9"/>
        <v>-3104415336</v>
      </c>
      <c r="G73" s="213">
        <f>+G71</f>
        <v>100</v>
      </c>
      <c r="H73" s="255"/>
    </row>
    <row r="74" spans="1:8" ht="15.75">
      <c r="A74" s="265"/>
      <c r="B74" s="479"/>
      <c r="C74" s="204"/>
      <c r="D74" s="204"/>
      <c r="E74" s="204"/>
      <c r="F74" s="204"/>
      <c r="G74" s="205"/>
      <c r="H74" s="265"/>
    </row>
    <row r="75" spans="1:8" ht="15.75">
      <c r="B75" s="401"/>
      <c r="C75" s="1"/>
      <c r="D75" s="1"/>
      <c r="E75" s="119"/>
      <c r="F75" s="1"/>
      <c r="G75" s="207"/>
    </row>
    <row r="76" spans="1:8" ht="15.75">
      <c r="B76" s="401"/>
      <c r="D76" s="121" t="s">
        <v>284</v>
      </c>
      <c r="E76" s="132"/>
      <c r="F76" s="132"/>
      <c r="G76" s="207"/>
    </row>
    <row r="77" spans="1:8" ht="15.75">
      <c r="B77" s="401"/>
      <c r="D77" s="132" t="s">
        <v>280</v>
      </c>
      <c r="E77" s="132"/>
      <c r="F77" s="132"/>
      <c r="G77" s="207"/>
    </row>
    <row r="78" spans="1:8" ht="15.75">
      <c r="B78" s="401"/>
      <c r="D78" s="132" t="s">
        <v>57</v>
      </c>
      <c r="E78" s="132"/>
      <c r="F78" s="132"/>
      <c r="G78" s="207"/>
    </row>
    <row r="79" spans="1:8" ht="15.75">
      <c r="B79" s="401"/>
      <c r="D79" s="132"/>
      <c r="E79" s="132"/>
      <c r="F79" s="132"/>
      <c r="G79" s="207"/>
    </row>
    <row r="80" spans="1:8" ht="15.75">
      <c r="B80" s="401"/>
      <c r="C80" s="1"/>
      <c r="D80" s="1"/>
      <c r="E80" s="1"/>
      <c r="F80" s="1"/>
      <c r="G80" s="207"/>
    </row>
    <row r="81" spans="2:7" ht="15.75">
      <c r="C81" s="132" t="s">
        <v>218</v>
      </c>
      <c r="D81" s="1"/>
      <c r="E81" s="121"/>
      <c r="F81" s="124"/>
      <c r="G81" s="207"/>
    </row>
    <row r="82" spans="2:7" ht="15.75">
      <c r="C82" s="132" t="s">
        <v>262</v>
      </c>
      <c r="D82" s="1"/>
      <c r="E82" s="121"/>
      <c r="F82" s="124"/>
      <c r="G82" s="207"/>
    </row>
    <row r="83" spans="2:7" ht="15.75">
      <c r="C83" s="132" t="s">
        <v>219</v>
      </c>
      <c r="D83" s="1"/>
      <c r="E83" s="121"/>
      <c r="F83" s="132"/>
      <c r="G83" s="207"/>
    </row>
    <row r="84" spans="2:7" ht="15.75">
      <c r="B84" s="401"/>
      <c r="C84" s="1"/>
      <c r="D84" s="1"/>
      <c r="E84" s="4" t="s">
        <v>310</v>
      </c>
      <c r="F84" s="1"/>
      <c r="G84" s="207"/>
    </row>
    <row r="85" spans="2:7" ht="15.75">
      <c r="B85" s="401"/>
      <c r="C85" s="1"/>
      <c r="D85" s="1"/>
      <c r="E85" s="1"/>
      <c r="F85" s="1"/>
      <c r="G85" s="207"/>
    </row>
  </sheetData>
  <mergeCells count="7">
    <mergeCell ref="B73:C73"/>
    <mergeCell ref="B2:G2"/>
    <mergeCell ref="B3:G3"/>
    <mergeCell ref="B4:G4"/>
    <mergeCell ref="B5:G5"/>
    <mergeCell ref="B9:C9"/>
    <mergeCell ref="D6:E6"/>
  </mergeCells>
  <pageMargins left="0.7" right="0.7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abSelected="1" topLeftCell="A14" workbookViewId="0">
      <selection activeCell="E17" sqref="E17"/>
    </sheetView>
  </sheetViews>
  <sheetFormatPr baseColWidth="10" defaultColWidth="11.42578125" defaultRowHeight="14.25"/>
  <cols>
    <col min="1" max="1" width="38.5703125" style="169" customWidth="1"/>
    <col min="2" max="2" width="16.140625" style="145" customWidth="1"/>
    <col min="3" max="3" width="13.7109375" style="145" customWidth="1"/>
    <col min="4" max="4" width="14.28515625" style="145" customWidth="1"/>
    <col min="5" max="5" width="6.140625" style="145" customWidth="1"/>
    <col min="6" max="16384" width="11.42578125" style="1"/>
  </cols>
  <sheetData>
    <row r="1" spans="1:4" ht="15" thickBot="1"/>
    <row r="2" spans="1:4">
      <c r="A2" s="601" t="s">
        <v>108</v>
      </c>
      <c r="B2" s="602"/>
      <c r="C2" s="602"/>
      <c r="D2" s="603"/>
    </row>
    <row r="3" spans="1:4">
      <c r="A3" s="606" t="s">
        <v>1</v>
      </c>
      <c r="B3" s="607"/>
      <c r="C3" s="607"/>
      <c r="D3" s="608"/>
    </row>
    <row r="4" spans="1:4">
      <c r="A4" s="606" t="s">
        <v>178</v>
      </c>
      <c r="B4" s="607"/>
      <c r="C4" s="607"/>
      <c r="D4" s="608"/>
    </row>
    <row r="5" spans="1:4">
      <c r="A5" s="606" t="s">
        <v>307</v>
      </c>
      <c r="B5" s="607"/>
      <c r="C5" s="607"/>
      <c r="D5" s="608"/>
    </row>
    <row r="6" spans="1:4" ht="13.5" customHeight="1">
      <c r="A6" s="604"/>
      <c r="B6" s="605"/>
      <c r="C6" s="605"/>
      <c r="D6" s="146"/>
    </row>
    <row r="7" spans="1:4">
      <c r="A7" s="604" t="s">
        <v>256</v>
      </c>
      <c r="B7" s="605"/>
      <c r="C7" s="605"/>
      <c r="D7" s="147">
        <f>+'BALANCE COMPARATIVO'!J34</f>
        <v>11637136952</v>
      </c>
    </row>
    <row r="8" spans="1:4" ht="15" thickBot="1">
      <c r="A8" s="604" t="s">
        <v>306</v>
      </c>
      <c r="B8" s="605"/>
      <c r="C8" s="605"/>
      <c r="D8" s="148">
        <f>+D9-D7</f>
        <v>-2424236364</v>
      </c>
    </row>
    <row r="9" spans="1:4" ht="15" thickBot="1">
      <c r="A9" s="604" t="s">
        <v>305</v>
      </c>
      <c r="B9" s="605"/>
      <c r="C9" s="605"/>
      <c r="D9" s="149">
        <f>+'BALANCE COMPARATIVO'!K34</f>
        <v>9212900588</v>
      </c>
    </row>
    <row r="10" spans="1:4" ht="15" thickTop="1">
      <c r="A10" s="170"/>
      <c r="D10" s="146"/>
    </row>
    <row r="11" spans="1:4" ht="14.25" customHeight="1">
      <c r="A11" s="171" t="s">
        <v>140</v>
      </c>
      <c r="B11" s="500"/>
      <c r="C11" s="150">
        <v>2022</v>
      </c>
      <c r="D11" s="151" t="s">
        <v>141</v>
      </c>
    </row>
    <row r="12" spans="1:4" ht="14.25" customHeight="1">
      <c r="A12" s="170"/>
      <c r="B12" s="494"/>
      <c r="D12" s="146"/>
    </row>
    <row r="13" spans="1:4" ht="14.25" customHeight="1">
      <c r="A13" s="171" t="s">
        <v>179</v>
      </c>
      <c r="B13" s="494"/>
      <c r="D13" s="152">
        <f>+D14</f>
        <v>680178972</v>
      </c>
    </row>
    <row r="14" spans="1:4" ht="14.25" customHeight="1">
      <c r="A14" s="170" t="s">
        <v>51</v>
      </c>
      <c r="B14" s="501"/>
      <c r="C14" s="153">
        <f>+'BALANCE COMPARATIVO'!L37</f>
        <v>680178972</v>
      </c>
      <c r="D14" s="147">
        <f>B14+C14</f>
        <v>680178972</v>
      </c>
    </row>
    <row r="15" spans="1:4" ht="14.25" customHeight="1">
      <c r="A15" s="170"/>
      <c r="B15" s="494"/>
      <c r="D15" s="146"/>
    </row>
    <row r="16" spans="1:4" ht="14.25" customHeight="1">
      <c r="A16" s="171" t="s">
        <v>449</v>
      </c>
      <c r="B16" s="494"/>
      <c r="D16" s="502">
        <f>+D17</f>
        <v>-3104415336</v>
      </c>
    </row>
    <row r="17" spans="1:5" ht="14.25" customHeight="1">
      <c r="A17" s="170" t="s">
        <v>51</v>
      </c>
      <c r="B17" s="501"/>
      <c r="C17" s="153">
        <f>+'BALANCE COMPARATIVO'!L39</f>
        <v>-3104415336</v>
      </c>
      <c r="D17" s="147">
        <f>B17+C17</f>
        <v>-3104415336</v>
      </c>
    </row>
    <row r="18" spans="1:5">
      <c r="A18" s="493"/>
      <c r="B18" s="494"/>
      <c r="C18" s="494"/>
      <c r="D18" s="495"/>
    </row>
    <row r="19" spans="1:5" ht="15" thickBot="1">
      <c r="A19" s="499" t="s">
        <v>384</v>
      </c>
      <c r="B19" s="496"/>
      <c r="C19" s="496"/>
      <c r="D19" s="498">
        <f>+D13+D16</f>
        <v>-2424236364</v>
      </c>
    </row>
    <row r="20" spans="1:5">
      <c r="A20" s="497"/>
      <c r="B20" s="494"/>
      <c r="C20" s="494"/>
      <c r="D20" s="494"/>
    </row>
    <row r="21" spans="1:5">
      <c r="A21" s="497"/>
      <c r="B21" s="494"/>
      <c r="C21" s="494"/>
      <c r="D21" s="494"/>
    </row>
    <row r="23" spans="1:5" ht="13.5">
      <c r="A23" s="172"/>
      <c r="B23" s="154"/>
      <c r="C23" s="154"/>
      <c r="D23" s="154"/>
      <c r="E23" s="154"/>
    </row>
    <row r="24" spans="1:5" ht="13.5">
      <c r="A24" s="172"/>
      <c r="B24" s="121" t="s">
        <v>284</v>
      </c>
      <c r="C24" s="154"/>
      <c r="D24" s="154"/>
      <c r="E24" s="154"/>
    </row>
    <row r="25" spans="1:5" ht="13.5">
      <c r="A25" s="172"/>
      <c r="B25" s="154" t="s">
        <v>56</v>
      </c>
      <c r="C25" s="154"/>
      <c r="D25" s="154"/>
      <c r="E25" s="154"/>
    </row>
    <row r="26" spans="1:5">
      <c r="B26" s="154" t="s">
        <v>57</v>
      </c>
    </row>
    <row r="29" spans="1:5">
      <c r="A29" s="172" t="s">
        <v>218</v>
      </c>
      <c r="C29" s="121"/>
      <c r="D29" s="154"/>
    </row>
    <row r="30" spans="1:5">
      <c r="A30" s="172" t="s">
        <v>142</v>
      </c>
      <c r="C30" s="121"/>
      <c r="D30" s="154"/>
    </row>
    <row r="31" spans="1:5">
      <c r="A31" s="172" t="s">
        <v>219</v>
      </c>
      <c r="C31" s="121"/>
      <c r="D31" s="154"/>
    </row>
    <row r="32" spans="1:5" ht="15.75">
      <c r="B32" s="599" t="s">
        <v>310</v>
      </c>
      <c r="C32" s="600"/>
    </row>
    <row r="37" ht="17.25" customHeight="1"/>
  </sheetData>
  <mergeCells count="9">
    <mergeCell ref="B32:C32"/>
    <mergeCell ref="A2:D2"/>
    <mergeCell ref="A9:C9"/>
    <mergeCell ref="A3:D3"/>
    <mergeCell ref="A4:D4"/>
    <mergeCell ref="A5:D5"/>
    <mergeCell ref="A7:C7"/>
    <mergeCell ref="A8:C8"/>
    <mergeCell ref="A6:C6"/>
  </mergeCells>
  <printOptions horizontalCentered="1"/>
  <pageMargins left="1.37795275590551" right="0.23622047244094499" top="1.37795275590551" bottom="0.35433070866141703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BALANCE GENERAL</vt:lpstr>
      <vt:lpstr>BALANCE COMPARATIVO</vt:lpstr>
      <vt:lpstr>MAYOR Y BALANCE</vt:lpstr>
      <vt:lpstr>ESTADO RESULTADO</vt:lpstr>
      <vt:lpstr>ESTADO DE RESULTADO COMPARATIVO</vt:lpstr>
      <vt:lpstr>CAMBIO PATRIMONIO</vt:lpstr>
      <vt:lpstr>'BALANCE GENERAL'!Área_de_impresión</vt:lpstr>
      <vt:lpstr>'CAMBIO PATRIMONIO'!Área_de_impresión</vt:lpstr>
      <vt:lpstr>'ESTADO RESULTADO'!Área_de_impresión</vt:lpstr>
      <vt:lpstr>'MAYOR Y BALANCE'!Área_de_impresión</vt:lpstr>
      <vt:lpstr>'BALANCE GENERAL'!Títulos_a_imprimir</vt:lpstr>
      <vt:lpstr>'ESTADO RESULTADO'!Títulos_a_imprimir</vt:lpstr>
      <vt:lpstr>'MAYOR Y BALANCE'!Títulos_a_imprimir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Carlos Palacios Mosquera</cp:lastModifiedBy>
  <cp:lastPrinted>2023-04-25T13:19:11Z</cp:lastPrinted>
  <dcterms:created xsi:type="dcterms:W3CDTF">2015-01-17T20:11:42Z</dcterms:created>
  <dcterms:modified xsi:type="dcterms:W3CDTF">2023-02-15T14:37:02Z</dcterms:modified>
</cp:coreProperties>
</file>